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hidden" name="Formulario Rta" sheetId="10" r:id="rId14"/>
    <sheet state="hidden" name="Estructura Formulario" sheetId="11" r:id="rId15"/>
    <sheet state="visible" name="Mercado" sheetId="12" r:id="rId16"/>
    <sheet state="hidden" name="Ross Heideke" sheetId="13" r:id="rId17"/>
    <sheet state="visible" name="catalogo 2" sheetId="14" r:id="rId18"/>
    <sheet state="visible" name="Analisis Avance O." sheetId="15" r:id="rId19"/>
    <sheet state="visible" name="% Avance de Obra" sheetId="16" r:id="rId20"/>
    <sheet state="visible" name="Hoja 16" sheetId="17" r:id="rId21"/>
    <sheet state="hidden" name="Catálogo Bimsa" sheetId="18" r:id="rId22"/>
    <sheet state="hidden" name="BIMSA" sheetId="19" r:id="rId23"/>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<sst xmlns="http://schemas.openxmlformats.org/spreadsheetml/2006/main" count="5088" uniqueCount="1924">
  <si>
    <t>Nombre Imagen</t>
  </si>
  <si>
    <t>Link</t>
  </si>
  <si>
    <t>id</t>
  </si>
  <si>
    <t>URL</t>
  </si>
  <si>
    <t>Foto</t>
  </si>
  <si>
    <t>2.jpg</t>
  </si>
  <si>
    <t>https://drive.google.com/uc?export=download&amp;id=</t>
  </si>
  <si>
    <t>1uCi2KXuJ7zjI3RAMnn9V5LcBtN9V-fhU</t>
  </si>
  <si>
    <t>3.jpg</t>
  </si>
  <si>
    <t>10Xv2lp7_p27VDrtWaA6ZguMhaq65APMW</t>
  </si>
  <si>
    <t>https://drive.google.com/uc?export=download&amp;id=10Xv2lp7_p27VDrtWaA6ZguMhaq65APMW</t>
  </si>
  <si>
    <t>18.jpeg</t>
  </si>
  <si>
    <t>18Ncfra8WvnT1pAQVfZL0qdWOaxqr3NEN</t>
  </si>
  <si>
    <t>https://drive.google.com/uc?export=download&amp;id=18Ncfra8WvnT1pAQVfZL0qdWOaxqr3NEN</t>
  </si>
  <si>
    <t>17.jpeg</t>
  </si>
  <si>
    <t>1yQIm9vwB0ttAv5TzuPLErZ2lxJ0EmEsM</t>
  </si>
  <si>
    <t>https://drive.google.com/uc?export=download&amp;id=1yQIm9vwB0ttAv5TzuPLErZ2lxJ0EmEsM</t>
  </si>
  <si>
    <t>15.jpeg</t>
  </si>
  <si>
    <t>1g3-ALO6-_lRCAA68D2pb0vcRQkIiu3x6</t>
  </si>
  <si>
    <t>https://drive.google.com/uc?export=download&amp;id=1g3-ALO6-_lRCAA68D2pb0vcRQkIiu3x6</t>
  </si>
  <si>
    <t>16.jpeg</t>
  </si>
  <si>
    <t>135Fkj9z2TAiLqjt-NHW8slfpiGZoRHWw</t>
  </si>
  <si>
    <t>https://drive.google.com/uc?export=download&amp;id=135Fkj9z2TAiLqjt-NHW8slfpiGZoRHWw</t>
  </si>
  <si>
    <t>14.jpeg</t>
  </si>
  <si>
    <t>1LSXqfxmYaSy4W8tmyN2ZIYpDY4HVW3Bc</t>
  </si>
  <si>
    <t>https://drive.google.com/uc?export=download&amp;id=1LSXqfxmYaSy4W8tmyN2ZIYpDY4HVW3Bc</t>
  </si>
  <si>
    <t>13.jpeg</t>
  </si>
  <si>
    <t>1ootI2reS3zOEWwIDIPj52NqKyaiTqx-q</t>
  </si>
  <si>
    <t>https://drive.google.com/uc?export=download&amp;id=1ootI2reS3zOEWwIDIPj52NqKyaiTqx-q</t>
  </si>
  <si>
    <t>12.jpeg</t>
  </si>
  <si>
    <t>1CxxSnrpMvDrmMtRuHFHboBjLdqGTGWD0</t>
  </si>
  <si>
    <t>https://drive.google.com/uc?export=download&amp;id=1CxxSnrpMvDrmMtRuHFHboBjLdqGTGWD0</t>
  </si>
  <si>
    <t>11.jpeg</t>
  </si>
  <si>
    <t>1Jry7NLsYl5OzJ_2uhRhdpLNckGrBjjeq</t>
  </si>
  <si>
    <t>https://drive.google.com/uc?export=download&amp;id=1Jry7NLsYl5OzJ_2uhRhdpLNckGrBjjeq</t>
  </si>
  <si>
    <t>10.jpeg</t>
  </si>
  <si>
    <t>1VBqnJWPA6cKSsxaS8TywQ-nRxJrWW4RO</t>
  </si>
  <si>
    <t>https://drive.google.com/uc?export=download&amp;id=1VBqnJWPA6cKSsxaS8TywQ-nRxJrWW4RO</t>
  </si>
  <si>
    <t>9.jpeg</t>
  </si>
  <si>
    <t>1706_ks01TI4s7uCDGnSTFNha80pyfeHo</t>
  </si>
  <si>
    <t>https://drive.google.com/uc?export=download&amp;id=1706_ks01TI4s7uCDGnSTFNha80pyfeHo</t>
  </si>
  <si>
    <t>8.jpeg</t>
  </si>
  <si>
    <t>1HDGcYiNVXfchE1ro_AZYfBomR95IOoWA</t>
  </si>
  <si>
    <t>https://drive.google.com/uc?export=download&amp;id=1HDGcYiNVXfchE1ro_AZYfBomR95IOoWA</t>
  </si>
  <si>
    <t>7.jpeg</t>
  </si>
  <si>
    <t>1FjxuSzi4nMaCIMp7Z4cATdZBai-19bVM</t>
  </si>
  <si>
    <t>https://drive.google.com/uc?export=download&amp;id=1FjxuSzi4nMaCIMp7Z4cATdZBai-19bVM</t>
  </si>
  <si>
    <t>6.jpeg</t>
  </si>
  <si>
    <t>1-XdKSysM7tLxuP8cZMmJYx9hmq1221mp</t>
  </si>
  <si>
    <t>https://drive.google.com/uc?export=download&amp;id=1-XdKSysM7tLxuP8cZMmJYx9hmq1221mp</t>
  </si>
  <si>
    <t>5.jpeg</t>
  </si>
  <si>
    <t>1uJI6cmHiXKh3OGQ_ag8aKwfjrdK7SYpS</t>
  </si>
  <si>
    <t>https://drive.google.com/uc?export=download&amp;id=1uJI6cmHiXKh3OGQ_ag8aKwfjrdK7SYpS</t>
  </si>
  <si>
    <t>4.jpeg</t>
  </si>
  <si>
    <t>1zPSkXzw9hjQez6t3z_d1FkXifkor7anO</t>
  </si>
  <si>
    <t>https://drive.google.com/uc?export=download&amp;id=1zPSkXzw9hjQez6t3z_d1FkXifkor7anO</t>
  </si>
  <si>
    <t>1.jpeg</t>
  </si>
  <si>
    <t>1CE19QSjvtGL1TGtJ8lTJcL0qfMOj5NS0</t>
  </si>
  <si>
    <t>https://drive.google.com/uc?export=download&amp;id=1CE19QSjvtGL1TGtJ8lTJcL0qfMOj5NS0</t>
  </si>
  <si>
    <t>Fototeca - 19 de 21.jpeg</t>
  </si>
  <si>
    <t>1M2phWCZNVXQVyPqb2-HpfZ5Fmoc8IfAE</t>
  </si>
  <si>
    <t>https://drive.google.com/uc?export=download&amp;id=1M2phWCZNVXQVyPqb2-HpfZ5Fmoc8IfAE</t>
  </si>
  <si>
    <t>Fototeca - 17 de 21.jpeg</t>
  </si>
  <si>
    <t>1PJO6PYpr2tqWOoaU86vNRJUkNLoOwPBX</t>
  </si>
  <si>
    <t>https://drive.google.com/uc?export=download&amp;id=1PJO6PYpr2tqWOoaU86vNRJUkNLoOwPBX</t>
  </si>
  <si>
    <t>Fototeca - 12 de 21.jpeg</t>
  </si>
  <si>
    <t>13nd0w41CZpT4qpTbInVaF-5ydZmdQrQM</t>
  </si>
  <si>
    <t>https://drive.google.com/uc?export=download&amp;id=13nd0w41CZpT4qpTbInVaF-5ydZmdQrQM</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</si>
  <si>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</si>
  <si>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</si>
  <si>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</si>
  <si>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</si>
  <si>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</si>
  <si>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</si>
  <si>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</si>
  <si>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</si>
  <si>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</si>
  <si>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</si>
  <si>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</si>
  <si>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</si>
  <si>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</si>
  <si>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</si>
  <si>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</si>
  <si>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</si>
  <si>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</si>
  <si>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</si>
  <si>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</si>
  <si>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</si>
  <si>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</si>
  <si>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</si>
  <si>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</si>
  <si>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</si>
  <si>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</si>
  <si>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</si>
  <si>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</si>
  <si>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</si>
  <si>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</si>
  <si>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</si>
  <si>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</si>
  <si>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</si>
  <si>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</si>
  <si>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</si>
  <si>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</si>
  <si>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</si>
  <si>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</si>
  <si>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</si>
  <si>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</si>
  <si>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</si>
  <si>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</si>
  <si>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</si>
  <si>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</si>
  <si>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</si>
  <si>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</si>
  <si>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</si>
  <si>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</si>
  <si>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</si>
  <si>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</si>
  <si>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</si>
  <si>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</si>
  <si>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</si>
  <si>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</si>
  <si>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</si>
  <si>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</si>
  <si>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</si>
  <si>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</si>
  <si>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</si>
  <si>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</si>
  <si>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</si>
  <si>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</si>
  <si>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</si>
  <si>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</si>
  <si>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</si>
  <si>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</si>
  <si>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</si>
  <si>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</si>
  <si>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</si>
  <si>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</si>
  <si>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</si>
  <si>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</si>
  <si>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</si>
  <si>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</si>
  <si>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</si>
  <si>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</si>
  <si>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</si>
  <si>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</si>
  <si>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</si>
  <si>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</si>
  <si>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</si>
  <si>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</si>
  <si>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</si>
  <si>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</si>
  <si>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</si>
  <si>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</si>
  <si>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</si>
  <si>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</si>
  <si>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</si>
  <si>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</si>
  <si>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</si>
  <si>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</si>
  <si>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</si>
  <si>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</si>
  <si>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</si>
  <si>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</si>
  <si>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</si>
  <si>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</si>
  <si>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</si>
  <si>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</si>
  <si>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</si>
  <si>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</si>
  <si>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</si>
  <si>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</si>
  <si>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</si>
  <si>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</si>
  <si>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</si>
  <si>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</si>
  <si>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</si>
  <si>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</si>
  <si>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</si>
  <si>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</si>
  <si>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</si>
  <si>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</si>
  <si>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</si>
  <si>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</si>
  <si>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</si>
  <si>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</si>
  <si>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</si>
  <si>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</si>
  <si>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</si>
  <si>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</si>
  <si>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</si>
  <si>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</si>
  <si>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</si>
  <si>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</si>
  <si>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</si>
  <si>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</si>
  <si>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</si>
  <si>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</si>
  <si>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</si>
  <si>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</si>
  <si>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</si>
  <si>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</si>
  <si>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</si>
  <si>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</si>
  <si>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</si>
  <si>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</si>
  <si>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</si>
  <si>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</si>
  <si>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</si>
  <si>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</si>
  <si>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</si>
  <si>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</si>
  <si>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</si>
  <si>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</si>
  <si>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</si>
  <si>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</si>
  <si>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</si>
  <si>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</si>
  <si>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</si>
  <si>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</si>
  <si>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</si>
  <si>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</si>
  <si>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</si>
  <si>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</si>
  <si>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</si>
  <si>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</si>
  <si>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</si>
  <si>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</si>
  <si>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</si>
  <si>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</si>
  <si>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</si>
  <si>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</si>
  <si>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</si>
  <si>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</si>
  <si>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</si>
  <si>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</si>
  <si>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</si>
  <si>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</si>
  <si>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</si>
  <si>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</si>
  <si>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</si>
  <si>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</si>
  <si>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</si>
  <si>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</si>
  <si>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</si>
  <si>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</si>
  <si>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</si>
  <si>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</si>
  <si>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</si>
  <si>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</si>
  <si>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</si>
  <si>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</si>
  <si>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</si>
  <si>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</si>
  <si>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</si>
  <si>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</si>
  <si>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</si>
  <si>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</si>
  <si>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</si>
  <si>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</si>
  <si>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</si>
  <si>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</si>
  <si>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</si>
  <si>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</si>
  <si>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</si>
  <si>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</si>
  <si>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</si>
  <si>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</si>
  <si>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</si>
  <si>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</si>
  <si>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</si>
  <si>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</si>
  <si>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</si>
  <si>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</si>
  <si>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</si>
  <si>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</si>
  <si>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</si>
  <si>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</si>
  <si>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</si>
  <si>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</si>
  <si>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</si>
  <si>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</si>
  <si>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</si>
  <si>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</si>
  <si>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</si>
  <si>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</si>
  <si>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</si>
  <si>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</si>
  <si>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</si>
  <si>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</si>
  <si>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</si>
  <si>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</si>
  <si>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</si>
  <si>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</si>
  <si>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</si>
  <si>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</si>
  <si>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</si>
  <si>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</si>
  <si>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</si>
  <si>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</si>
  <si>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</si>
  <si>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</si>
  <si>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</si>
  <si>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</si>
  <si>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</si>
  <si>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</si>
  <si>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</si>
  <si>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</si>
  <si>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</si>
  <si>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</si>
  <si>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</si>
  <si>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</si>
  <si>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</si>
  <si>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</si>
  <si>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</si>
  <si>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</si>
  <si>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</si>
  <si>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</si>
  <si>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</si>
  <si>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</si>
  <si>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</si>
  <si>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</si>
  <si>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</si>
  <si>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</si>
  <si>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</si>
  <si>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</si>
  <si>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</si>
  <si>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</si>
  <si>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</si>
  <si>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</si>
  <si>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</si>
  <si>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</si>
  <si>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</si>
  <si>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</si>
  <si>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</si>
  <si>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</si>
  <si>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</si>
  <si>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</si>
  <si>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</si>
  <si>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</si>
  <si>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</si>
  <si>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</si>
  <si>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</si>
  <si>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</si>
  <si>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</si>
  <si>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</si>
  <si>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</si>
  <si>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</si>
  <si>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</si>
  <si>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</si>
  <si>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</si>
  <si>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</si>
  <si>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</si>
  <si>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</si>
  <si>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</si>
  <si>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</si>
  <si>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</si>
  <si>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</si>
  <si>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</si>
  <si>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</si>
  <si>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</si>
  <si>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</si>
  <si>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</si>
  <si>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</si>
  <si>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</si>
  <si>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</si>
  <si>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</si>
  <si>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</si>
  <si>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</si>
  <si>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</si>
  <si>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</si>
  <si>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</si>
  <si>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</si>
  <si>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</si>
  <si>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</si>
  <si>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</si>
  <si>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</si>
  <si>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</si>
  <si>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</si>
  <si>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</si>
  <si>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</si>
  <si>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</si>
  <si>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</si>
  <si>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</si>
  <si>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</si>
  <si>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</si>
  <si>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</si>
  <si>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</si>
  <si>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</si>
  <si>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</si>
  <si>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</si>
  <si>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</si>
  <si>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</si>
  <si>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</si>
  <si>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</si>
  <si>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</si>
  <si>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</si>
  <si>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</si>
  <si>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</si>
  <si>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</si>
  <si>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</si>
  <si>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</si>
  <si>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</si>
  <si>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</si>
  <si>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</si>
  <si>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</si>
  <si>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</si>
  <si>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</si>
  <si>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</si>
  <si>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</si>
  <si>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</si>
  <si>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</si>
  <si>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</si>
  <si>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</si>
  <si>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</si>
  <si>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</si>
  <si>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</si>
  <si>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</si>
  <si>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</si>
  <si>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</si>
  <si>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</si>
  <si>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</si>
  <si>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</si>
  <si>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</si>
  <si>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</si>
  <si>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</si>
  <si>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</si>
  <si>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</si>
  <si>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</si>
  <si>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</si>
  <si>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</si>
  <si>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</si>
  <si>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</si>
  <si>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</si>
  <si>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</si>
  <si>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</si>
  <si>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</si>
  <si>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</si>
  <si>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</si>
  <si>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</si>
  <si>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</si>
  <si>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</si>
  <si>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</si>
  <si>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</si>
  <si>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</si>
  <si>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</si>
  <si>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</si>
  <si>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</si>
  <si>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</si>
  <si>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</si>
  <si>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</si>
  <si>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</si>
  <si>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</si>
  <si>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</si>
  <si>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</si>
  <si>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</si>
  <si>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</si>
  <si>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</si>
  <si>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</si>
  <si>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</si>
  <si>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</si>
  <si>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</si>
  <si>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</si>
  <si>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</si>
  <si>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</si>
  <si>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</si>
  <si>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</si>
  <si>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</si>
  <si>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</si>
  <si>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</si>
  <si>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</si>
  <si>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</si>
  <si>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</si>
  <si>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</si>
  <si>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</si>
  <si>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</si>
  <si>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</si>
  <si>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</si>
  <si>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</si>
  <si>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</si>
  <si>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</si>
  <si>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</si>
  <si>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</si>
  <si>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</si>
  <si>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</si>
  <si>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</si>
  <si>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</si>
  <si>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</si>
  <si>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</si>
  <si>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</si>
  <si>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</si>
  <si>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</si>
  <si>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</si>
  <si>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</si>
  <si>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</si>
  <si>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</si>
  <si>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</si>
  <si>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</si>
  <si>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</si>
  <si>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</si>
  <si>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</si>
  <si>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</si>
  <si>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</si>
  <si>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</si>
  <si>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</si>
  <si>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</si>
  <si>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</si>
  <si>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</si>
  <si>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</si>
  <si>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</si>
  <si>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</si>
  <si>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</si>
  <si>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</si>
  <si>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</si>
  <si>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</si>
  <si>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</si>
  <si>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</si>
  <si>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</si>
  <si>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</si>
  <si>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</si>
  <si>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</si>
  <si>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</si>
  <si>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</si>
  <si>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</si>
  <si>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</si>
  <si>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</si>
  <si>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</si>
  <si>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</si>
  <si>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</si>
  <si>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</si>
  <si>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</si>
  <si>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</si>
  <si>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</si>
  <si>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</si>
  <si>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</si>
  <si>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</si>
  <si>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</si>
  <si>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</si>
  <si>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</si>
  <si>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</si>
  <si>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</si>
  <si>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</si>
  <si>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</si>
  <si>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</si>
  <si>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</si>
  <si>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</si>
  <si>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</si>
  <si>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</si>
  <si>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</si>
  <si>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</si>
  <si>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</si>
  <si>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</si>
  <si>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</si>
  <si>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</si>
  <si>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</si>
  <si>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</si>
  <si>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</si>
  <si>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</si>
  <si>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</si>
  <si>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</si>
  <si>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</si>
  <si>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</si>
  <si>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</si>
  <si>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</si>
  <si>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</si>
  <si>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</si>
  <si>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</si>
  <si>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</si>
  <si>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</si>
  <si>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</si>
  <si>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</si>
  <si>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</si>
  <si>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</si>
  <si>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</si>
  <si>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</si>
  <si>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</si>
  <si>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</si>
  <si>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</si>
  <si>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</si>
  <si>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</si>
  <si>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</si>
  <si>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</si>
  <si>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</si>
  <si>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</si>
  <si>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</si>
  <si>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</si>
  <si>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</si>
  <si>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</si>
  <si>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</si>
  <si>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</si>
  <si>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</si>
  <si>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</si>
  <si>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</si>
  <si>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</si>
  <si>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</si>
  <si>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</si>
  <si>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</si>
  <si>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</si>
  <si>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</si>
  <si>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</si>
  <si>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</si>
  <si>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</si>
  <si>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</si>
  <si>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</si>
  <si>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</si>
  <si>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</si>
  <si>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</si>
  <si>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</si>
  <si>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</si>
  <si>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</si>
  <si>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</si>
  <si>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</si>
  <si>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</si>
  <si>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</si>
  <si>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</si>
  <si>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</si>
  <si>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</si>
  <si>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</si>
  <si>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</si>
  <si>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</si>
  <si>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</si>
  <si>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</si>
  <si>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</si>
  <si>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</si>
  <si>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</si>
  <si>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</si>
  <si>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</si>
  <si>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</si>
  <si>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</si>
  <si>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</si>
  <si>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</si>
  <si>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</si>
  <si>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</si>
  <si>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</si>
  <si>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</si>
  <si>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</si>
  <si>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</si>
  <si>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</si>
  <si>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</si>
  <si>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</si>
  <si>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</si>
  <si>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</si>
  <si>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</si>
  <si>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</si>
  <si>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</si>
  <si>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</si>
  <si>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</si>
  <si>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</si>
  <si>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</si>
  <si>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</si>
  <si>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</si>
  <si>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</si>
  <si>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</si>
  <si>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</si>
  <si>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</si>
  <si>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</si>
  <si>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</si>
  <si>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</si>
  <si>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</si>
  <si>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</si>
  <si>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</si>
  <si>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</si>
  <si>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</si>
  <si>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</si>
  <si>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</si>
  <si>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</si>
  <si>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</si>
  <si>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</si>
  <si>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</si>
  <si>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</si>
  <si>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</si>
  <si>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</si>
  <si>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</si>
  <si>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</si>
  <si>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</si>
  <si>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</si>
  <si>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</si>
  <si>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</si>
  <si>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</si>
  <si>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</si>
  <si>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</si>
  <si>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</si>
  <si>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</si>
  <si>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</si>
  <si>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</si>
  <si>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</si>
  <si>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</si>
  <si>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</si>
  <si>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</si>
  <si>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</si>
  <si>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</si>
  <si>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</si>
  <si>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</si>
  <si>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</si>
  <si>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</si>
  <si>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</si>
  <si>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</si>
  <si>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</si>
  <si>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</si>
  <si>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</si>
  <si>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</si>
  <si>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</si>
  <si>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</si>
  <si>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</si>
  <si>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</si>
  <si>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</si>
  <si>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</si>
  <si>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</si>
  <si>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</si>
  <si>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</si>
  <si>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</si>
  <si>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</si>
  <si>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</si>
  <si>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</si>
  <si>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</si>
  <si>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</si>
  <si>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</si>
  <si>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</si>
  <si>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</si>
  <si>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</si>
  <si>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</si>
  <si>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</si>
  <si>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</si>
  <si>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</si>
  <si>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</si>
  <si>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</si>
  <si>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</si>
  <si>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</si>
  <si>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</si>
  <si>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</si>
  <si>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</si>
  <si>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</si>
  <si>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</si>
  <si>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</si>
  <si>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</si>
  <si>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</si>
  <si>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</si>
  <si>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</si>
  <si>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</si>
  <si>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</si>
  <si>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</si>
  <si>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</si>
  <si>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</si>
  <si>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</si>
  <si>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</si>
  <si>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</si>
  <si>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</si>
  <si>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</si>
  <si>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</si>
  <si>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</si>
  <si>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</si>
  <si>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</si>
  <si>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</si>
  <si>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</si>
  <si>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</si>
  <si>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</si>
  <si>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</si>
  <si>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</si>
  <si>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</si>
  <si>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</si>
  <si>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</si>
  <si>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</si>
  <si>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Pascal 2164, San Elías, 44246 Guadalajara, Jal.</t>
  </si>
  <si>
    <t>Datos No Proporcionados</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</si>
  <si>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</si>
  <si>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</si>
  <si>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</si>
  <si>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SI</t>
  </si>
  <si>
    <t>para bancos, infonavit, fovisste, instituciones financieras</t>
  </si>
  <si>
    <t>4-6%</t>
  </si>
  <si>
    <t>INTERMEDIA</t>
  </si>
  <si>
    <t>MEDIA</t>
  </si>
  <si>
    <t>SALA</t>
  </si>
  <si>
    <t>NO TIENE</t>
  </si>
  <si>
    <t>COMERCIAL</t>
  </si>
  <si>
    <t>MINIMA</t>
  </si>
  <si>
    <t>.</t>
  </si>
  <si>
    <t>Guadalajara</t>
  </si>
  <si>
    <t>Privada</t>
  </si>
  <si>
    <t>San Elías</t>
  </si>
  <si>
    <t>COMPLETOS</t>
  </si>
  <si>
    <t>ENTUBADA</t>
  </si>
  <si>
    <t>ENTUBADO</t>
  </si>
  <si>
    <t>HABITACIONAL DE 2DO. ORDEN</t>
  </si>
  <si>
    <t>%  AVANCE EDIF. SUJETO</t>
  </si>
  <si>
    <t>CON CABLEADO AÉREO</t>
  </si>
  <si>
    <t>CON CILINDROS</t>
  </si>
  <si>
    <t>H4</t>
  </si>
  <si>
    <t>DE ASFALTO</t>
  </si>
  <si>
    <t>URBANO</t>
  </si>
  <si>
    <t>REMODELADO</t>
  </si>
  <si>
    <t>REGULAR</t>
  </si>
  <si>
    <t xml:space="preserve">Datos No Proporcionados </t>
  </si>
  <si>
    <t>NIVEL 0 - PLANTA BAJA</t>
  </si>
  <si>
    <t>Sala</t>
  </si>
  <si>
    <t>Comedor</t>
  </si>
  <si>
    <t>Cocina</t>
  </si>
  <si>
    <t>Patio</t>
  </si>
  <si>
    <t>Planta Unica</t>
  </si>
  <si>
    <t>Ampliación Recámara</t>
  </si>
  <si>
    <t>D) INSTALACIONES ADICIONALES, ACCESORIAS O ESPECIALES:</t>
  </si>
  <si>
    <t>Techo Provisional</t>
  </si>
  <si>
    <t>m2</t>
  </si>
  <si>
    <t>SOLICITANTE</t>
  </si>
  <si>
    <t>LEVANTAMIENTO APROXIMADO</t>
  </si>
  <si>
    <t>Cercano a vialidades importantes como Av Fidel Velazquez y Av Normalistas que le dan facilidad de acceso</t>
  </si>
  <si>
    <t>Pudiera o no influir el no contar con cochera considerando que se pueden encontrar ofertas similares que sí ofrecen este espacio</t>
  </si>
  <si>
    <t>Su superficie puede agilizar su compra-venta</t>
  </si>
  <si>
    <t>Requiere de mantenimiento menor en pintura interior en algunas áreas</t>
  </si>
  <si>
    <t>Cuenta con ampliaciones y remodelaciones generales recientes que agregan tiempo de vida y calidad al inmueble</t>
  </si>
  <si>
    <r>
      <rPr>
        <rFont val="Arial"/>
        <b val="0"/>
        <color theme="1"/>
        <sz val="10.0"/>
      </rPr>
      <t>El inmueble se encuentra en BUEN ESTADO DE CONSERVACIÓN general, de acuerdo a su edad y uso. Presenta condiciones similares y superiores a las ofertadas en la zona.
Se realizó un estudio sobre zonas SIMILARES, observando que el mercado presenta diferencia en sus valores x m2 de venta, lo que nos habla de una oferta y una demanda que depende de las características físicas del inmueble, edad y ubicación.
El VALOR  MEDIO es el valor promedio para una compra venta como resultado del estudio de mercado. Sin embargo el valor puede tener tendencia al valor Máximo debido a su estado de conservación.
El valor del terreno tiene IGUAL importancia que las construcciones debido a la ubicación en una zona consolidada, y las características de proyecto, tipos de acabados, edad y estado de conservación de la propiedad son adecuadas aumentando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</si>
  <si>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</si>
  <si>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</si>
  <si>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</si>
  <si>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</si>
  <si>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</si>
  <si>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</si>
  <si>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</si>
  <si>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</si>
  <si>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</si>
  <si>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</si>
  <si>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</si>
  <si>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</si>
  <si>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</si>
  <si>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</si>
  <si>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</si>
  <si>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</si>
  <si>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</si>
  <si>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</si>
  <si>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</si>
  <si>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</si>
  <si>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</si>
  <si>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</si>
  <si>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</si>
  <si>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</si>
  <si>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</si>
  <si>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</si>
  <si>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</si>
  <si>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</si>
  <si>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</si>
  <si>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</si>
  <si>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</si>
  <si>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</si>
  <si>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</si>
  <si>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</si>
  <si>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</si>
  <si>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</si>
  <si>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</si>
  <si>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</si>
  <si>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</si>
  <si>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</si>
  <si>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</si>
  <si>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</si>
  <si>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</si>
  <si>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</si>
  <si>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</si>
  <si>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</si>
  <si>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</si>
  <si>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</si>
  <si>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</si>
  <si>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</si>
  <si>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</si>
  <si>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</si>
  <si>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</si>
  <si>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</si>
  <si>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</si>
  <si>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</si>
  <si>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</si>
  <si>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</si>
  <si>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</si>
  <si>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</si>
  <si>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</si>
  <si>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</si>
  <si>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</si>
  <si>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</si>
  <si>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Rancho Nuevo 1ra. Sección</t>
  </si>
  <si>
    <t>https://www.casasyterrenos.com/propiedad/terreno-venta-eutimio-pinzon-rancho-nuevo-1ra-seccion-guadalajara-jal-3779336</t>
  </si>
  <si>
    <t>Independencia</t>
  </si>
  <si>
    <t>https://www.inmuebles24.com/propiedades/clasificado/vecltein-venta-de-terreno-en-colonia-independencia-147013498.html?n_src=Listado&amp;n_exp=trigger_pills-original&amp;n_pg=1&amp;n_pos=1</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</si>
  <si>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</si>
  <si>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</si>
  <si>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</si>
  <si>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</si>
  <si>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</si>
  <si>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</si>
  <si>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</si>
  <si>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</si>
  <si>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</si>
  <si>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</si>
  <si>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</si>
  <si>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</si>
  <si>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SAN ELIAS</t>
  </si>
  <si>
    <t>Avenida Fidel Velazquez 380</t>
  </si>
  <si>
    <t>1 Nivel 3 Recamaras con closet Cocina con alacenas estufas Área Sala-Comedor 1 Baño completo Patio amplio con Jardín</t>
  </si>
  <si>
    <t>GPM BIENES RAICES</t>
  </si>
  <si>
    <t xml:space="preserve"> 33 1305 0083</t>
  </si>
  <si>
    <t>https://www.inmuebles24.com/propiedades/clasificado/veclcain-casa-en-venta.-fraccionamiento-estadio-poniente-147959813.html?n_src=Listado&amp;n_exp=trigger_pills-original&amp;n_pg=1&amp;n_pos=1</t>
  </si>
  <si>
    <t>INDEPENDENCIA</t>
  </si>
  <si>
    <t>Platón S/N</t>
  </si>
  <si>
    <t>3 Recámaras 2 1/2 Baños 3 Cocheras Terraza al ingreso de la casa 1 Área de lavado Local comercial al frente de 35.00 mts con medio baño.</t>
  </si>
  <si>
    <t>Impacto Inmobiliaria</t>
  </si>
  <si>
    <t>33 3485 2244</t>
  </si>
  <si>
    <t>https://www.inmuebles24.com/propiedades/clasificado/veclcain-casa-en-venta-calle-platon-col.-independencia-146764086.html?n_src=Listado&amp;n_exp=trigger_pills-original&amp;n_pg=1&amp;n_pos=1</t>
  </si>
  <si>
    <t>Monumental</t>
  </si>
  <si>
    <t>Monumental S/N</t>
  </si>
  <si>
    <t>Cochera un auto, jardín exterior, sala comedor, cocina, patio de servicio, pasillo distribuidor, dos recámara secundarias cada una con su clóset que comparten un baño completo y otra principal con baño completo, jardín interior.</t>
  </si>
  <si>
    <t>Enf Comercializadora</t>
  </si>
  <si>
    <t>https://www.inmuebles24.com/propiedades/clasificado/veclcapa-espectacular-casa-col-monumental-147753528.html?n_src=Listado&amp;n_exp=trigger_pills-original&amp;n_pg=1&amp;n_pos=1</t>
  </si>
  <si>
    <t>Alcalde Barranquitas</t>
  </si>
  <si>
    <t>Avenida de los Maestros 576</t>
  </si>
  <si>
    <t>4 recámaras, 2 baños uso de suelo mixto, comercial y habitacional, cuarto de servicio con baño, área de lavandería</t>
  </si>
  <si>
    <t>iad Inmobiliaria</t>
  </si>
  <si>
    <t>https://www.inmuebles24.com/propiedades/clasificado/veclcain-casa-en-venta-en-alcalde-barranquitas-143208861.html?n_src=Listado&amp;n_exp=trigger_pills-original&amp;n_pg=1&amp;n_pos=1</t>
  </si>
  <si>
    <t>Independencia Oriente</t>
  </si>
  <si>
    <t xml:space="preserve"> Los Alpes 1548</t>
  </si>
  <si>
    <t>Sala y comedor Cocina integral 5 recámaras, 2 baños completos, Jardín lateral, espacio para 1 auto</t>
  </si>
  <si>
    <t>Casa Administraciones</t>
  </si>
  <si>
    <t>33 3040 8700</t>
  </si>
  <si>
    <t>https://www.inmuebles24.com/propiedades/clasificado/veclcain-casa-en-venta-de-un-nivel-en-la-colonia-independencia-147097244.html?n_src=Listado&amp;n_exp=trigger_pills-original&amp;n_pg=1&amp;n_pos=1</t>
  </si>
  <si>
    <t>OTROS COMPARABLES  DE VENTA</t>
  </si>
  <si>
    <t>https://www.inmuebles24.com/propiedades/clasificado/veclcain-casa-en-belisario-dominguez-gdl-148141350.html?n_src=Listado&amp;n_exp=trigger_pills-original&amp;n_pg=1&amp;n_pos=1</t>
  </si>
  <si>
    <t>https://www.inmuebles24.com/propiedades/clasificado/veclcain-casa-con-departamento-independiente-cerca-del-148214120.html?n_src=Listado&amp;n_exp=trigger_pills-original&amp;n_pg=1&amp;n_pos=1</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</si>
  <si>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</si>
  <si>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</si>
  <si>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</si>
  <si>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</si>
  <si>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</si>
  <si>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</si>
  <si>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</si>
  <si>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</si>
  <si>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</si>
  <si>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</si>
  <si>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</si>
  <si>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</si>
  <si>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</si>
  <si>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</si>
  <si>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</si>
  <si>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</si>
  <si>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</si>
  <si>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</si>
  <si>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</si>
  <si>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</si>
  <si>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</si>
  <si>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</si>
  <si>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</si>
  <si>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</si>
  <si>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</si>
  <si>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</si>
  <si>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</si>
  <si>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</si>
  <si>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</si>
  <si>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</si>
  <si>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</si>
  <si>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</si>
  <si>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</si>
  <si>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</si>
  <si>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</si>
  <si>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</si>
  <si>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</si>
  <si>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</si>
  <si>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</si>
  <si>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</si>
  <si>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</si>
  <si>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</si>
  <si>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</si>
  <si>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</si>
  <si>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</si>
  <si>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</si>
  <si>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</si>
  <si>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</si>
  <si>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</si>
  <si>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</si>
  <si>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</si>
  <si>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</si>
  <si>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</si>
  <si>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</si>
  <si>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</si>
  <si>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</si>
  <si>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</si>
  <si>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</si>
  <si>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</si>
  <si>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</si>
  <si>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</si>
  <si>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</si>
  <si>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</si>
  <si>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</si>
  <si>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</si>
  <si>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</si>
  <si>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</si>
  <si>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</si>
  <si>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</si>
  <si>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</si>
  <si>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</si>
  <si>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</si>
  <si>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</si>
  <si>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</si>
  <si>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</si>
  <si>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</si>
  <si>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</si>
  <si>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</si>
  <si>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</si>
  <si>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</si>
  <si>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</si>
  <si>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</si>
  <si>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</si>
  <si>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</si>
  <si>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</si>
  <si>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</si>
  <si>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</si>
  <si>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</si>
  <si>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</si>
  <si>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</si>
  <si>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</si>
  <si>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</si>
  <si>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</si>
  <si>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</si>
  <si>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</si>
  <si>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</si>
  <si>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</si>
  <si>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</si>
  <si>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</si>
  <si>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</si>
  <si>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</si>
  <si>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</si>
  <si>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</si>
  <si>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</si>
  <si>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</si>
  <si>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</si>
  <si>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</si>
  <si>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</si>
  <si>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</si>
  <si>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</si>
  <si>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</si>
  <si>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</si>
  <si>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</si>
  <si>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</si>
  <si>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</si>
  <si>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</si>
  <si>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</si>
  <si>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</si>
  <si>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</si>
  <si>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</si>
  <si>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</si>
  <si>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</si>
  <si>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</si>
  <si>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</si>
  <si>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</si>
  <si>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</si>
  <si>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</si>
  <si>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</si>
  <si>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</si>
  <si>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</si>
  <si>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</si>
  <si>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</si>
  <si>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</si>
  <si>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</si>
  <si>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</si>
  <si>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</si>
  <si>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</si>
  <si>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</si>
  <si>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</si>
  <si>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</si>
  <si>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</si>
  <si>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</si>
  <si>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</si>
  <si>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</si>
  <si>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</si>
  <si>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</si>
  <si>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</si>
  <si>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</si>
  <si>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</si>
  <si>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</si>
  <si>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</si>
  <si>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</si>
  <si>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</si>
  <si>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</si>
  <si>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</si>
  <si>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</si>
  <si>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</si>
  <si>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</si>
  <si>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</si>
  <si>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</si>
  <si>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</si>
  <si>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</si>
  <si>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</si>
  <si>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</si>
  <si>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</si>
  <si>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</si>
  <si>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</si>
  <si>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</si>
  <si>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</si>
  <si>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</si>
  <si>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</si>
  <si>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</si>
  <si>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</si>
  <si>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</si>
  <si>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</si>
  <si>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</si>
  <si>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</si>
  <si>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</si>
  <si>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</si>
  <si>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</si>
  <si>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</si>
  <si>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</si>
  <si>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</si>
  <si>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</si>
  <si>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</si>
  <si>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</si>
  <si>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</si>
  <si>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</si>
  <si>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</si>
  <si>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</si>
  <si>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</si>
  <si>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</si>
  <si>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</si>
  <si>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</si>
  <si>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</si>
  <si>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</si>
  <si>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</si>
  <si>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</si>
  <si>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</si>
  <si>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</si>
  <si>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</si>
  <si>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</si>
  <si>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</si>
  <si>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</si>
  <si>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</si>
  <si>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</si>
  <si>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</si>
  <si>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</si>
  <si>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</si>
  <si>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</si>
  <si>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</si>
  <si>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</si>
  <si>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</si>
  <si>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</si>
  <si>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</si>
  <si>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</si>
  <si>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</si>
  <si>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</si>
  <si>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</si>
  <si>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</si>
  <si>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</si>
  <si>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</si>
  <si>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</si>
  <si>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</si>
  <si>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</si>
  <si>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CASA HABITACIÓN</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</si>
  <si>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</si>
  <si>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</si>
  <si>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</si>
  <si>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</si>
  <si>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</si>
  <si>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</si>
  <si>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</si>
  <si>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</si>
  <si>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</si>
  <si>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</si>
  <si>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</si>
  <si>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</si>
  <si>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</si>
  <si>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</si>
  <si>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</si>
  <si>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</si>
  <si>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</si>
  <si>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</si>
  <si>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</si>
  <si>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</si>
  <si>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</si>
  <si>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</si>
  <si>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</si>
  <si>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</si>
  <si>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</si>
  <si>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</si>
  <si>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</si>
  <si>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BUENO</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</si>
  <si>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</si>
  <si>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</si>
  <si>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</si>
  <si>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</si>
  <si>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</si>
  <si>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</si>
  <si>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</si>
  <si>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</si>
  <si>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</si>
  <si>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</si>
  <si>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</si>
  <si>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</si>
  <si>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</si>
  <si>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</si>
  <si>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</si>
  <si>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</si>
  <si>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</si>
  <si>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</si>
  <si>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</si>
  <si>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</si>
  <si>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</si>
  <si>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</si>
  <si>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</si>
  <si>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</si>
  <si>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</si>
  <si>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</si>
  <si>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</si>
  <si>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</si>
  <si>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</si>
  <si>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</si>
  <si>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</si>
  <si>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</si>
  <si>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</si>
  <si>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</si>
  <si>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</si>
  <si>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</si>
  <si>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</si>
  <si>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</si>
  <si>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</si>
  <si>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</si>
  <si>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</si>
  <si>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</si>
  <si>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</si>
  <si>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</si>
  <si>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</si>
  <si>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</si>
  <si>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</si>
  <si>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</si>
  <si>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</si>
  <si>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</si>
  <si>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</si>
  <si>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</si>
  <si>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</si>
  <si>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</si>
  <si>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</si>
  <si>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</si>
  <si>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</si>
  <si>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</si>
  <si>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</si>
  <si>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</si>
  <si>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</si>
  <si>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</si>
  <si>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</si>
  <si>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</si>
  <si>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</si>
  <si>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</si>
  <si>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</si>
  <si>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</si>
  <si>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</si>
  <si>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</si>
  <si>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</si>
  <si>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</si>
  <si>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</si>
  <si>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</si>
  <si>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</si>
  <si>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</si>
  <si>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</si>
  <si>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</si>
  <si>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</si>
  <si>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</si>
  <si>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</si>
  <si>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</si>
  <si>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</si>
  <si>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</si>
  <si>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</si>
  <si>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</si>
  <si>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</si>
  <si>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</si>
  <si>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</si>
  <si>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</si>
  <si>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</si>
  <si>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</si>
  <si>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</si>
  <si>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</si>
  <si>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</si>
  <si>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</si>
  <si>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</si>
  <si>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</si>
  <si>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</si>
  <si>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</si>
  <si>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</si>
  <si>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</si>
  <si>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</si>
  <si>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</si>
  <si>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</si>
  <si>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</si>
  <si>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</si>
  <si>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</si>
  <si>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</si>
  <si>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</si>
  <si>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</si>
  <si>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</si>
  <si>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</si>
  <si>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</si>
  <si>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</si>
  <si>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</si>
  <si>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</si>
  <si>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</si>
  <si>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</si>
  <si>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</si>
  <si>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</si>
  <si>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</si>
  <si>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</si>
  <si>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</si>
  <si>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</si>
  <si>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</si>
  <si>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</si>
  <si>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</si>
  <si>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</si>
  <si>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</si>
  <si>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</si>
  <si>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</si>
  <si>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</si>
  <si>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</si>
  <si>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</si>
  <si>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</si>
  <si>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</si>
  <si>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</si>
  <si>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</si>
  <si>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</si>
  <si>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</si>
  <si>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</si>
  <si>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</si>
  <si>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</si>
  <si>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</si>
  <si>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</si>
  <si>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</si>
  <si>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</si>
  <si>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</si>
  <si>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</si>
  <si>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</si>
  <si>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</si>
  <si>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</si>
  <si>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</si>
  <si>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</si>
  <si>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</si>
  <si>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</si>
  <si>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</si>
  <si>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</si>
  <si>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</si>
  <si>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</si>
  <si>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</si>
  <si>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</si>
  <si>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</si>
  <si>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</si>
  <si>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</si>
  <si>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</si>
  <si>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</si>
  <si>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</si>
  <si>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</si>
  <si>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</si>
  <si>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</si>
  <si>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</si>
  <si>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</si>
  <si>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</si>
  <si>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</si>
  <si>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</si>
  <si>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</si>
  <si>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</si>
  <si>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</si>
  <si>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</si>
  <si>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</si>
  <si>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</si>
  <si>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</si>
  <si>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</si>
  <si>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</si>
  <si>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</si>
  <si>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</si>
  <si>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</si>
  <si>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</si>
  <si>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</si>
  <si>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</si>
  <si>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</si>
  <si>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</si>
  <si>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</si>
  <si>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</si>
  <si>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</si>
  <si>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</si>
  <si>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ESCRITURA PÚBLICA  .</t>
  </si>
  <si>
    <t>SC5</t>
  </si>
  <si>
    <t>Escrituras</t>
  </si>
  <si>
    <t>SR</t>
  </si>
  <si>
    <t>Servicios regionales</t>
  </si>
  <si>
    <t>Datos de Registro Público</t>
  </si>
  <si>
    <t>CONTRATO DE COMPRAVENTA</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</si>
  <si>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</si>
  <si>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</si>
  <si>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</si>
  <si>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</si>
  <si>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</si>
  <si>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</si>
  <si>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</si>
  <si>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</si>
  <si>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</si>
  <si>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</si>
  <si>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</si>
  <si>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</si>
  <si>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</si>
  <si>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</si>
  <si>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</si>
  <si>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</si>
  <si>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</si>
  <si>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</si>
  <si>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</si>
  <si>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</si>
  <si>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</si>
  <si>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</si>
  <si>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</si>
  <si>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</si>
  <si>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</si>
  <si>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</si>
  <si>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</si>
  <si>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</si>
  <si>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</si>
  <si>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</si>
  <si>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</si>
  <si>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</si>
  <si>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</si>
  <si>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</si>
  <si>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</si>
  <si>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</si>
  <si>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</si>
  <si>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</si>
  <si>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</si>
  <si>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</si>
  <si>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</si>
  <si>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</si>
  <si>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</si>
  <si>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</si>
  <si>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</si>
  <si>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</si>
  <si>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</si>
  <si>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</si>
  <si>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</si>
  <si>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</si>
  <si>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</si>
  <si>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</si>
  <si>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</si>
  <si>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</si>
  <si>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</si>
  <si>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</si>
  <si>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</si>
  <si>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</si>
  <si>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</si>
  <si>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</si>
  <si>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</si>
  <si>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</si>
  <si>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</si>
  <si>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</si>
  <si>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</si>
  <si>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</si>
  <si>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</si>
  <si>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</si>
  <si>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</si>
  <si>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</si>
  <si>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</si>
  <si>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</si>
  <si>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</si>
  <si>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</si>
  <si>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</si>
  <si>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</si>
  <si>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</si>
  <si>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</si>
  <si>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</si>
  <si>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</si>
  <si>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</si>
  <si>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</si>
  <si>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EV-B</t>
  </si>
  <si>
    <t>Espacios verdes, abiertos y recreativos barriales</t>
  </si>
  <si>
    <t>DE CONCRETO HIDRÁULICO</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</si>
  <si>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</si>
  <si>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</si>
  <si>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</si>
  <si>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</si>
  <si>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</si>
  <si>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</si>
  <si>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</si>
  <si>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</si>
  <si>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</si>
  <si>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</si>
  <si>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</si>
  <si>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</si>
  <si>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</si>
  <si>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</si>
  <si>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</si>
  <si>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</si>
  <si>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</si>
  <si>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</si>
  <si>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</si>
  <si>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</si>
  <si>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</si>
  <si>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</si>
  <si>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</si>
  <si>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</si>
  <si>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</si>
  <si>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</si>
  <si>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</si>
  <si>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</si>
  <si>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</si>
  <si>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</si>
  <si>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</si>
  <si>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</si>
  <si>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</si>
  <si>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ECONÓMICO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</si>
  <si>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</si>
  <si>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</si>
  <si>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</si>
  <si>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</si>
  <si>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</si>
  <si>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</si>
  <si>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</si>
  <si>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</si>
  <si>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</si>
  <si>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</si>
  <si>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</si>
  <si>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</si>
  <si>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</si>
  <si>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</si>
  <si>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</si>
  <si>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</si>
  <si>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</si>
  <si>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</si>
  <si>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</si>
  <si>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</si>
  <si>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</si>
  <si>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</si>
  <si>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</si>
  <si>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</si>
  <si>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</si>
  <si>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</si>
  <si>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</si>
  <si>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</si>
  <si>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</si>
  <si>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</si>
  <si>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</si>
  <si>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</si>
  <si>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</si>
  <si>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</si>
  <si>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</si>
  <si>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</si>
  <si>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</si>
  <si>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</si>
  <si>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</si>
  <si>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</si>
  <si>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</si>
  <si>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</si>
  <si>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</si>
  <si>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</si>
  <si>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</si>
  <si>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</si>
  <si>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</si>
  <si>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</si>
  <si>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</si>
  <si>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</si>
  <si>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</si>
  <si>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</si>
  <si>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</si>
  <si>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</si>
  <si>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</si>
  <si>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</si>
  <si>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</si>
  <si>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</si>
  <si>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</si>
  <si>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</si>
  <si>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</si>
  <si>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</si>
  <si>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</si>
  <si>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</si>
  <si>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</si>
  <si>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</si>
  <si>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</si>
  <si>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</si>
  <si>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</si>
  <si>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</si>
  <si>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</si>
  <si>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</si>
  <si>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</si>
  <si>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</si>
  <si>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</si>
  <si>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</si>
  <si>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</si>
  <si>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</si>
  <si>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</si>
  <si>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</si>
  <si>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</si>
  <si>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</si>
  <si>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</si>
  <si>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</si>
  <si>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</si>
  <si>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</si>
  <si>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</si>
  <si>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</si>
  <si>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</si>
  <si>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</si>
  <si>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</si>
  <si>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</si>
  <si>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</si>
  <si>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</si>
  <si>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</si>
  <si>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</si>
  <si>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</si>
  <si>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</si>
  <si>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</si>
  <si>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</si>
  <si>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</si>
  <si>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</si>
  <si>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</si>
  <si>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</si>
  <si>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</si>
  <si>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</si>
  <si>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</si>
  <si>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</si>
  <si>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</si>
  <si>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</si>
  <si>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</si>
  <si>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</si>
  <si>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</si>
  <si>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</si>
  <si>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</si>
  <si>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</si>
  <si>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</si>
  <si>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</si>
  <si>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</si>
  <si>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</si>
  <si>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</si>
  <si>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</si>
  <si>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</si>
  <si>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</si>
  <si>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</si>
  <si>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</si>
  <si>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</si>
  <si>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</si>
  <si>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</si>
  <si>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</si>
  <si>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</si>
  <si>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</si>
  <si>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</si>
  <si>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</si>
  <si>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</si>
  <si>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</si>
  <si>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</si>
  <si>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</si>
  <si>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</si>
  <si>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</si>
  <si>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</si>
  <si>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</si>
  <si>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</si>
  <si>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</si>
  <si>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</si>
  <si>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</si>
  <si>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</si>
  <si>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</si>
  <si>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</si>
  <si>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</si>
  <si>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</si>
  <si>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</si>
  <si>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</si>
  <si>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</si>
  <si>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</si>
  <si>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</si>
  <si>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</si>
  <si>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</si>
  <si>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</si>
  <si>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</si>
  <si>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</si>
  <si>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</si>
  <si>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</si>
  <si>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</si>
  <si>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</si>
  <si>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</si>
  <si>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</si>
  <si>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</si>
  <si>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</si>
  <si>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</si>
  <si>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</si>
  <si>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</si>
  <si>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</si>
  <si>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</si>
  <si>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</si>
  <si>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</si>
  <si>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</si>
  <si>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</si>
  <si>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</si>
  <si>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</si>
  <si>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</si>
  <si>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</si>
  <si>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</si>
  <si>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</si>
  <si>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</si>
  <si>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</si>
  <si>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</si>
  <si>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</si>
  <si>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</si>
  <si>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</si>
  <si>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</si>
  <si>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</si>
  <si>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</si>
  <si>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</si>
  <si>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</si>
  <si>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</si>
  <si>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</si>
  <si>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</si>
  <si>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</si>
  <si>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</si>
  <si>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</si>
  <si>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</si>
  <si>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</si>
  <si>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</si>
  <si>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</si>
  <si>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</si>
  <si>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</si>
  <si>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</si>
  <si>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</si>
  <si>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</si>
  <si>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</si>
  <si>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</si>
  <si>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</si>
  <si>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</si>
  <si>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</si>
  <si>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</si>
  <si>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</si>
  <si>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</si>
  <si>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</si>
  <si>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</si>
  <si>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</si>
  <si>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</si>
  <si>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</si>
  <si>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</si>
  <si>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</si>
  <si>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</si>
  <si>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</si>
  <si>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</si>
  <si>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</si>
  <si>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</si>
  <si>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</si>
  <si>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</si>
  <si>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</si>
  <si>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</si>
  <si>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</si>
  <si>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</si>
  <si>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</si>
  <si>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</si>
  <si>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</si>
  <si>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</si>
  <si>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</si>
  <si>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</si>
  <si>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</si>
  <si>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</si>
  <si>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</si>
  <si>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</si>
  <si>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</si>
  <si>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</si>
  <si>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</si>
  <si>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</si>
  <si>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</si>
  <si>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</si>
  <si>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</si>
  <si>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</si>
  <si>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</si>
  <si>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</si>
  <si>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</si>
  <si>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</si>
  <si>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</si>
  <si>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</si>
  <si>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</si>
  <si>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</si>
  <si>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</si>
  <si>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</si>
  <si>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</si>
  <si>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</si>
  <si>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</si>
  <si>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</si>
  <si>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</si>
  <si>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</si>
  <si>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</si>
  <si>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</si>
  <si>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</si>
  <si>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</si>
  <si>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</si>
  <si>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</si>
  <si>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</si>
  <si>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</si>
  <si>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</si>
  <si>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</si>
  <si>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</si>
  <si>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</si>
  <si>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</si>
  <si>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</si>
  <si>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</si>
  <si>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</si>
  <si>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</si>
  <si>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</si>
  <si>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</si>
  <si>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</si>
  <si>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</si>
  <si>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</si>
  <si>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</si>
  <si>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</si>
  <si>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</si>
  <si>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</si>
  <si>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</si>
  <si>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</si>
  <si>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</si>
  <si>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</si>
  <si>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</si>
  <si>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</si>
  <si>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</si>
  <si>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</si>
  <si>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</si>
  <si>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</si>
  <si>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</si>
  <si>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</si>
  <si>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</si>
  <si>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</si>
  <si>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</si>
  <si>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</si>
  <si>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</si>
  <si>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</si>
  <si>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</si>
  <si>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</si>
  <si>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</si>
  <si>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</si>
  <si>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</si>
  <si>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</si>
  <si>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</si>
  <si>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</si>
  <si>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</si>
  <si>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</si>
  <si>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</si>
  <si>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</si>
  <si>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</si>
  <si>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</si>
  <si>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</si>
  <si>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</si>
  <si>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</si>
  <si>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</si>
  <si>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</si>
  <si>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</si>
  <si>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</si>
  <si>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</si>
  <si>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</si>
  <si>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</si>
  <si>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</si>
  <si>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</si>
  <si>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</si>
  <si>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</si>
  <si>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</si>
  <si>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</si>
  <si>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</si>
  <si>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</si>
  <si>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</si>
  <si>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</si>
  <si>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</si>
  <si>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</si>
  <si>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</si>
  <si>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</si>
  <si>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</si>
  <si>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H4-U</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</si>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</sst>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2">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color rgb="FFFFFFFF"/>
      <name val="Arial"/>
    </font>
    <font>
      <b/>
      <sz val="5.0"/>
      <color rgb="FFFFFFFF"/>
      <name val="Arial"/>
    </font>
    <font>
      <sz val="9.0"/>
      <color rgb="FFFFFFFF"/>
      <name val="Arial"/>
    </font>
    <font>
      <b/>
      <sz val="10.0"/>
      <color rgb="FFFFFF00"/>
      <name val="Arial"/>
    </font>
    <font>
      <sz val="8.0"/>
      <color rgb="FF1F1F1F"/>
      <name val="&quot;Google Sans&quot;"/>
    </font>
    <font>
      <b/>
      <sz val="11.0"/>
      <color rgb="FF000000"/>
      <name val="Arial"/>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color rgb="FFFFFFFF"/>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sz val="11.0"/>
      <color theme="0"/>
      <name val="Calibri"/>
    </font>
    <font>
      <b/>
      <sz val="12.0"/>
      <color rgb="FF5A5A5A"/>
      <name val="Arial"/>
    </font>
    <font>
      <sz val="11.0"/>
      <color theme="1"/>
      <name val="Calibri"/>
    </font>
    <font>
      <u/>
      <sz val="9.0"/>
      <color rgb="FF1155CC"/>
      <name val="Arial"/>
    </font>
    <font>
      <u/>
      <sz val="9.0"/>
      <color rgb="FF0000FF"/>
      <name val="Arial"/>
    </font>
    <font>
      <u/>
      <color rgb="FF0000FF"/>
      <name val="Arial"/>
    </font>
    <font>
      <sz val="11.0"/>
      <color theme="1"/>
      <name val="&quot;Helvetica Neue&quot;"/>
    </font>
    <font>
      <u/>
      <color rgb="FF0000FF"/>
      <name val="Arial"/>
    </font>
    <font>
      <u/>
      <sz val="10.0"/>
      <color rgb="FF0000FF"/>
      <name val="Arial"/>
    </font>
    <font>
      <u/>
      <color rgb="FF0000FF"/>
      <name val="Arial"/>
    </font>
    <font>
      <sz val="8.0"/>
      <color rgb="FF555559"/>
      <name val="Helvetica Neue"/>
    </font>
    <font>
      <u/>
      <color rgb="FF1155CC"/>
      <name val="Arial"/>
    </font>
    <font>
      <b/>
      <sz val="8.0"/>
      <color theme="0"/>
      <name val="Arial"/>
    </font>
    <font>
      <u/>
      <sz val="9.0"/>
      <color rgb="FF1155CC"/>
      <name val="Arial"/>
    </font>
    <font>
      <sz val="8.0"/>
      <color rgb="FF666666"/>
      <name val="Arial"/>
    </font>
    <font>
      <u/>
      <sz val="9.0"/>
      <color rgb="FF0000FF"/>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b/>
      <sz val="12.0"/>
      <color rgb="FFFFFFFF"/>
      <name val="Arial"/>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5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3"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3"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7" numFmtId="0" xfId="0" applyAlignment="1" applyFont="1">
      <alignment vertical="bottom"/>
    </xf>
    <xf borderId="0" fillId="0" fontId="11"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2"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3"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2"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3"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4"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5"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2"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6" numFmtId="0" xfId="0" applyAlignment="1" applyFont="1">
      <alignment vertical="top"/>
    </xf>
    <xf borderId="0" fillId="3" fontId="117" numFmtId="165" xfId="0" applyAlignment="1" applyFont="1" applyNumberFormat="1">
      <alignment vertical="top"/>
    </xf>
    <xf borderId="0" fillId="3" fontId="115" numFmtId="0" xfId="0" applyAlignment="1" applyFont="1">
      <alignment horizontal="center" readingOrder="0" shrinkToFit="0" vertical="top" wrapText="1"/>
    </xf>
    <xf borderId="0" fillId="0" fontId="118" numFmtId="49" xfId="0" applyAlignment="1" applyFont="1" applyNumberFormat="1">
      <alignment horizontal="left"/>
    </xf>
    <xf borderId="2" fillId="3" fontId="24" numFmtId="0" xfId="0" applyBorder="1" applyFont="1"/>
    <xf borderId="0" fillId="3" fontId="116" numFmtId="165" xfId="0" applyAlignment="1" applyFont="1" applyNumberFormat="1">
      <alignment vertical="top"/>
    </xf>
    <xf borderId="0" fillId="3" fontId="23" numFmtId="0" xfId="0" applyAlignment="1" applyFont="1">
      <alignment readingOrder="0" vertical="top"/>
    </xf>
    <xf borderId="0" fillId="3" fontId="115" numFmtId="0" xfId="0" applyAlignment="1" applyFont="1">
      <alignment vertical="top"/>
    </xf>
    <xf borderId="0" fillId="3" fontId="113" numFmtId="0" xfId="0" applyAlignment="1" applyFont="1">
      <alignment horizontal="left" readingOrder="0" vertical="center"/>
    </xf>
    <xf borderId="0" fillId="0" fontId="106" numFmtId="0" xfId="0" applyFont="1"/>
    <xf borderId="0" fillId="0" fontId="119"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7" numFmtId="0" xfId="0" applyAlignment="1" applyFont="1">
      <alignment readingOrder="0" vertical="top"/>
    </xf>
    <xf borderId="0" fillId="3" fontId="113" numFmtId="197" xfId="0" applyAlignment="1" applyFont="1" applyNumberFormat="1">
      <alignment horizontal="left" vertical="top"/>
    </xf>
    <xf borderId="0" fillId="3" fontId="113"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7"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3" numFmtId="10" xfId="0" applyAlignment="1" applyFont="1" applyNumberFormat="1">
      <alignment vertical="top"/>
    </xf>
    <xf borderId="0" fillId="0" fontId="103" numFmtId="0" xfId="0" applyAlignment="1" applyFont="1">
      <alignment readingOrder="0" shrinkToFit="0" vertical="center" wrapText="1"/>
    </xf>
    <xf borderId="0" fillId="0" fontId="113" numFmtId="10" xfId="0" applyAlignment="1" applyFont="1" applyNumberFormat="1">
      <alignment horizontal="center"/>
    </xf>
    <xf borderId="0" fillId="0" fontId="120"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1" numFmtId="0" xfId="0" applyAlignment="1" applyFont="1">
      <alignment readingOrder="0"/>
    </xf>
    <xf borderId="0" fillId="0" fontId="116"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2"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3"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4" numFmtId="0" xfId="0" applyAlignment="1" applyBorder="1" applyFont="1">
      <alignment horizontal="center" readingOrder="0"/>
    </xf>
    <xf borderId="0" fillId="5" fontId="124" numFmtId="0" xfId="0" applyFont="1"/>
    <xf borderId="164" fillId="5" fontId="124"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5" numFmtId="1" xfId="0" applyAlignment="1" applyBorder="1" applyFont="1" applyNumberFormat="1">
      <alignment horizontal="center" shrinkToFit="0" vertical="center" wrapText="1"/>
    </xf>
    <xf borderId="50" fillId="0" fontId="125" numFmtId="178" xfId="0" applyAlignment="1" applyBorder="1" applyFont="1" applyNumberFormat="1">
      <alignment horizontal="left" shrinkToFit="0" vertical="center" wrapText="1"/>
    </xf>
    <xf borderId="50" fillId="0" fontId="125"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5" numFmtId="0" xfId="0" applyAlignment="1" applyBorder="1" applyFont="1">
      <alignment horizontal="center" shrinkToFit="0" vertical="center" wrapText="1"/>
    </xf>
    <xf borderId="50" fillId="0" fontId="125" numFmtId="183" xfId="0" applyAlignment="1" applyBorder="1" applyFont="1" applyNumberFormat="1">
      <alignment horizontal="center" shrinkToFit="0" vertical="center" wrapText="1"/>
    </xf>
    <xf borderId="5" fillId="0" fontId="125" numFmtId="178" xfId="0" applyAlignment="1" applyBorder="1" applyFont="1" applyNumberFormat="1">
      <alignment horizontal="left" shrinkToFit="0" vertical="center" wrapText="1"/>
    </xf>
    <xf borderId="5" fillId="0" fontId="125"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5" numFmtId="0" xfId="0" applyAlignment="1" applyBorder="1" applyFont="1">
      <alignment horizontal="center" shrinkToFit="0" vertical="center" wrapText="1"/>
    </xf>
    <xf borderId="5" fillId="0" fontId="125" numFmtId="183" xfId="0" applyAlignment="1" applyBorder="1" applyFont="1" applyNumberFormat="1">
      <alignment horizontal="center" shrinkToFit="0" vertical="center" wrapText="1"/>
    </xf>
    <xf borderId="50" fillId="0" fontId="125" numFmtId="38" xfId="0" applyAlignment="1" applyBorder="1" applyFont="1" applyNumberFormat="1">
      <alignment horizontal="center" vertical="top"/>
    </xf>
    <xf borderId="107" fillId="0" fontId="125" numFmtId="38" xfId="0" applyAlignment="1" applyBorder="1" applyFont="1" applyNumberFormat="1">
      <alignment horizontal="center" vertical="top"/>
    </xf>
    <xf borderId="112" fillId="0" fontId="125" numFmtId="167" xfId="0" applyAlignment="1" applyBorder="1" applyFont="1" applyNumberFormat="1">
      <alignment horizontal="center" vertical="top"/>
    </xf>
    <xf borderId="92" fillId="0" fontId="126" numFmtId="37" xfId="0" applyAlignment="1" applyBorder="1" applyFont="1" applyNumberFormat="1">
      <alignment horizontal="center" vertical="top"/>
    </xf>
    <xf borderId="50" fillId="0" fontId="125" numFmtId="186" xfId="0" applyAlignment="1" applyBorder="1" applyFont="1" applyNumberFormat="1">
      <alignment horizontal="center" vertical="top"/>
    </xf>
    <xf borderId="92" fillId="0" fontId="125" numFmtId="186" xfId="0" applyAlignment="1" applyBorder="1" applyFont="1" applyNumberFormat="1">
      <alignment horizontal="center" vertical="top"/>
    </xf>
    <xf borderId="51" fillId="0" fontId="126" numFmtId="181" xfId="0" applyAlignment="1" applyBorder="1" applyFont="1" applyNumberFormat="1">
      <alignment vertical="top"/>
    </xf>
    <xf borderId="1" fillId="0" fontId="126" numFmtId="181" xfId="0" applyAlignment="1" applyBorder="1" applyFont="1" applyNumberFormat="1">
      <alignment vertical="top"/>
    </xf>
    <xf borderId="50" fillId="0" fontId="125"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5" numFmtId="181" xfId="0" applyAlignment="1" applyBorder="1" applyFont="1" applyNumberFormat="1">
      <alignment horizontal="center" vertical="top"/>
    </xf>
    <xf borderId="50" fillId="0" fontId="125" numFmtId="187" xfId="0" applyAlignment="1" applyBorder="1" applyFont="1" applyNumberFormat="1">
      <alignment horizontal="center" vertical="top"/>
    </xf>
    <xf borderId="51" fillId="0" fontId="125" numFmtId="168" xfId="0" applyAlignment="1" applyBorder="1" applyFont="1" applyNumberFormat="1">
      <alignment horizontal="center" vertical="top"/>
    </xf>
    <xf borderId="97" fillId="0" fontId="125" numFmtId="38" xfId="0" applyAlignment="1" applyBorder="1" applyFont="1" applyNumberFormat="1">
      <alignment horizontal="center" vertical="top"/>
    </xf>
    <xf borderId="112" fillId="0" fontId="125" numFmtId="38" xfId="0" applyAlignment="1" applyBorder="1" applyFont="1" applyNumberFormat="1">
      <alignment horizontal="center" vertical="top"/>
    </xf>
    <xf borderId="97" fillId="0" fontId="126" numFmtId="37" xfId="0" applyAlignment="1" applyBorder="1" applyFont="1" applyNumberFormat="1">
      <alignment horizontal="center" vertical="top"/>
    </xf>
    <xf borderId="97" fillId="0" fontId="125" numFmtId="186" xfId="0" applyAlignment="1" applyBorder="1" applyFont="1" applyNumberFormat="1">
      <alignment horizontal="center" vertical="top"/>
    </xf>
    <xf borderId="97" fillId="0" fontId="125"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5" numFmtId="181" xfId="0" applyAlignment="1" applyBorder="1" applyFont="1" applyNumberFormat="1">
      <alignment horizontal="center" vertical="top"/>
    </xf>
    <xf borderId="97" fillId="0" fontId="125" numFmtId="187" xfId="0" applyAlignment="1" applyBorder="1" applyFont="1" applyNumberFormat="1">
      <alignment horizontal="center" vertical="top"/>
    </xf>
    <xf borderId="97" fillId="0" fontId="125" numFmtId="168" xfId="0" applyAlignment="1" applyBorder="1" applyFont="1" applyNumberFormat="1">
      <alignment horizontal="center" vertical="top"/>
    </xf>
    <xf borderId="115" fillId="0" fontId="125" numFmtId="38" xfId="0" applyAlignment="1" applyBorder="1" applyFont="1" applyNumberFormat="1">
      <alignment horizontal="center" vertical="top"/>
    </xf>
    <xf borderId="118" fillId="0" fontId="125" numFmtId="38" xfId="0" applyAlignment="1" applyBorder="1" applyFont="1" applyNumberFormat="1">
      <alignment horizontal="center" vertical="top"/>
    </xf>
    <xf borderId="118" fillId="0" fontId="125" numFmtId="167" xfId="0" applyAlignment="1" applyBorder="1" applyFont="1" applyNumberFormat="1">
      <alignment horizontal="center" vertical="top"/>
    </xf>
    <xf borderId="113" fillId="0" fontId="126" numFmtId="37" xfId="0" applyAlignment="1" applyBorder="1" applyFont="1" applyNumberFormat="1">
      <alignment horizontal="center" vertical="top"/>
    </xf>
    <xf borderId="113" fillId="0" fontId="125" numFmtId="186" xfId="0" applyAlignment="1" applyBorder="1" applyFont="1" applyNumberFormat="1">
      <alignment horizontal="center" vertical="top"/>
    </xf>
    <xf borderId="115" fillId="0" fontId="126" numFmtId="181" xfId="0" applyAlignment="1" applyBorder="1" applyFont="1" applyNumberFormat="1">
      <alignment vertical="top"/>
    </xf>
    <xf borderId="119" fillId="0" fontId="126" numFmtId="181" xfId="0" applyAlignment="1" applyBorder="1" applyFont="1" applyNumberFormat="1">
      <alignment vertical="top"/>
    </xf>
    <xf borderId="113" fillId="0" fontId="125"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5" numFmtId="181" xfId="0" applyAlignment="1" applyBorder="1" applyFont="1" applyNumberFormat="1">
      <alignment horizontal="center" vertical="top"/>
    </xf>
    <xf borderId="113" fillId="0" fontId="125" numFmtId="187" xfId="0" applyAlignment="1" applyBorder="1" applyFont="1" applyNumberFormat="1">
      <alignment horizontal="center" vertical="top"/>
    </xf>
    <xf borderId="113" fillId="0" fontId="125" numFmtId="168" xfId="0" applyAlignment="1" applyBorder="1" applyFont="1" applyNumberFormat="1">
      <alignment horizontal="center" vertical="top"/>
    </xf>
    <xf borderId="0" fillId="0" fontId="125" numFmtId="38" xfId="0" applyAlignment="1" applyFont="1" applyNumberFormat="1">
      <alignment horizontal="center" vertical="top"/>
    </xf>
    <xf borderId="0" fillId="0" fontId="126" numFmtId="37" xfId="0" applyAlignment="1" applyFont="1" applyNumberFormat="1">
      <alignment horizontal="center" vertical="top"/>
    </xf>
    <xf borderId="0" fillId="0" fontId="125" numFmtId="186" xfId="0" applyAlignment="1" applyFont="1" applyNumberFormat="1">
      <alignment horizontal="center" vertical="top"/>
    </xf>
    <xf borderId="0" fillId="0" fontId="126" numFmtId="181" xfId="0" applyAlignment="1" applyFont="1" applyNumberFormat="1">
      <alignment vertical="top"/>
    </xf>
    <xf borderId="0" fillId="0" fontId="10" numFmtId="178" xfId="0" applyAlignment="1" applyFont="1" applyNumberFormat="1">
      <alignment horizontal="center" vertical="top"/>
    </xf>
    <xf borderId="0" fillId="0" fontId="125" numFmtId="178" xfId="0" applyAlignment="1" applyFont="1" applyNumberFormat="1">
      <alignment horizontal="center" vertical="top"/>
    </xf>
    <xf borderId="0" fillId="0" fontId="125" numFmtId="187" xfId="0" applyAlignment="1" applyFont="1" applyNumberFormat="1">
      <alignment horizontal="center" vertical="top"/>
    </xf>
    <xf borderId="0" fillId="0" fontId="126" numFmtId="168" xfId="0" applyAlignment="1" applyFont="1" applyNumberFormat="1">
      <alignment horizontal="center" vertical="top"/>
    </xf>
    <xf borderId="0" fillId="0" fontId="125" numFmtId="181" xfId="0" applyAlignment="1" applyFont="1" applyNumberFormat="1">
      <alignment horizontal="center" vertical="top"/>
    </xf>
    <xf borderId="0" fillId="0" fontId="125" numFmtId="40" xfId="0" applyAlignment="1" applyFont="1" applyNumberFormat="1">
      <alignment horizontal="center" vertical="top"/>
    </xf>
    <xf borderId="0" fillId="0" fontId="125" numFmtId="37" xfId="0" applyAlignment="1" applyFont="1" applyNumberFormat="1">
      <alignment horizontal="center" vertical="top"/>
    </xf>
    <xf borderId="0" fillId="0" fontId="126" numFmtId="178" xfId="0" applyAlignment="1" applyFont="1" applyNumberFormat="1">
      <alignment horizontal="right" vertical="top"/>
    </xf>
    <xf borderId="88" fillId="0" fontId="126" numFmtId="37" xfId="0" applyAlignment="1" applyBorder="1" applyFont="1" applyNumberFormat="1">
      <alignment horizontal="center" vertical="top"/>
    </xf>
    <xf borderId="0" fillId="0" fontId="125" numFmtId="168" xfId="0" applyAlignment="1" applyFont="1" applyNumberFormat="1">
      <alignment horizontal="center" vertical="top"/>
    </xf>
    <xf borderId="88" fillId="0" fontId="125" numFmtId="168" xfId="0" applyAlignment="1" applyBorder="1" applyFont="1" applyNumberFormat="1">
      <alignment horizontal="center" vertical="top"/>
    </xf>
    <xf borderId="50" fillId="0" fontId="125"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6" numFmtId="175" xfId="0" applyAlignment="1" applyBorder="1" applyFont="1" applyNumberFormat="1">
      <alignment horizontal="center" readingOrder="0" vertical="center"/>
    </xf>
    <xf borderId="50" fillId="0" fontId="126" numFmtId="175" xfId="0" applyAlignment="1" applyBorder="1" applyFont="1" applyNumberFormat="1">
      <alignment horizontal="center" vertical="center"/>
    </xf>
    <xf borderId="92" fillId="0" fontId="126" numFmtId="175" xfId="0" applyAlignment="1" applyBorder="1" applyFont="1" applyNumberFormat="1">
      <alignment horizontal="center" vertical="center"/>
    </xf>
    <xf borderId="50" fillId="10" fontId="126" numFmtId="175" xfId="0" applyAlignment="1" applyBorder="1" applyFont="1" applyNumberFormat="1">
      <alignment horizontal="center" readingOrder="0" vertical="center"/>
    </xf>
    <xf borderId="50" fillId="0" fontId="125" numFmtId="168" xfId="0" applyAlignment="1" applyBorder="1" applyFont="1" applyNumberFormat="1">
      <alignment horizontal="center" vertical="center"/>
    </xf>
    <xf borderId="97" fillId="0" fontId="125"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6" numFmtId="175" xfId="0" applyAlignment="1" applyBorder="1" applyFont="1" applyNumberFormat="1">
      <alignment horizontal="center" vertical="center"/>
    </xf>
    <xf borderId="124" fillId="0" fontId="126" numFmtId="175" xfId="0" applyAlignment="1" applyBorder="1" applyFont="1" applyNumberFormat="1">
      <alignment horizontal="center" vertical="center"/>
    </xf>
    <xf borderId="127" fillId="0" fontId="126" numFmtId="175" xfId="0" applyAlignment="1" applyBorder="1" applyFont="1" applyNumberFormat="1">
      <alignment horizontal="center" vertical="center"/>
    </xf>
    <xf borderId="97" fillId="10" fontId="126" numFmtId="175" xfId="0" applyAlignment="1" applyBorder="1" applyFont="1" applyNumberFormat="1">
      <alignment horizontal="center" vertical="center"/>
    </xf>
    <xf borderId="97" fillId="0" fontId="125" numFmtId="168" xfId="0" applyAlignment="1" applyBorder="1" applyFont="1" applyNumberFormat="1">
      <alignment horizontal="center" vertical="center"/>
    </xf>
    <xf borderId="97" fillId="0" fontId="126" numFmtId="175" xfId="0" applyAlignment="1" applyBorder="1" applyFont="1" applyNumberFormat="1">
      <alignment horizontal="center" readingOrder="0" vertical="center"/>
    </xf>
    <xf borderId="127" fillId="0" fontId="126"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5"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6" numFmtId="175" xfId="0" applyAlignment="1" applyBorder="1" applyFont="1" applyNumberFormat="1">
      <alignment horizontal="center" readingOrder="0" vertical="center"/>
    </xf>
    <xf borderId="113" fillId="0" fontId="126" numFmtId="175" xfId="0" applyAlignment="1" applyBorder="1" applyFont="1" applyNumberFormat="1">
      <alignment horizontal="center" vertical="center"/>
    </xf>
    <xf borderId="113" fillId="10" fontId="126" numFmtId="175" xfId="0" applyAlignment="1" applyBorder="1" applyFont="1" applyNumberFormat="1">
      <alignment horizontal="center" vertical="center"/>
    </xf>
    <xf borderId="113" fillId="0" fontId="125"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6" numFmtId="175" xfId="0" applyAlignment="1" applyFont="1" applyNumberFormat="1">
      <alignment vertical="center"/>
    </xf>
    <xf borderId="0" fillId="0" fontId="125" numFmtId="186" xfId="0" applyAlignment="1" applyFont="1" applyNumberFormat="1">
      <alignment vertical="center"/>
    </xf>
    <xf borderId="0" fillId="0" fontId="125" numFmtId="189" xfId="0" applyAlignment="1" applyFont="1" applyNumberFormat="1">
      <alignment vertical="center"/>
    </xf>
    <xf borderId="2" fillId="12" fontId="125" numFmtId="189" xfId="0" applyAlignment="1" applyBorder="1" applyFont="1" applyNumberFormat="1">
      <alignment vertical="center"/>
    </xf>
    <xf borderId="0" fillId="0" fontId="126" numFmtId="168" xfId="0" applyAlignment="1" applyFont="1" applyNumberFormat="1">
      <alignment vertical="center"/>
    </xf>
    <xf borderId="0" fillId="0" fontId="125" numFmtId="188" xfId="0" applyAlignment="1" applyFont="1" applyNumberFormat="1">
      <alignment horizontal="center" vertical="center"/>
    </xf>
    <xf borderId="0" fillId="0" fontId="125" numFmtId="37" xfId="0" applyAlignment="1" applyFont="1" applyNumberFormat="1">
      <alignment horizontal="center" vertical="center"/>
    </xf>
    <xf borderId="0" fillId="0" fontId="126" numFmtId="189" xfId="0" applyAlignment="1" applyFont="1" applyNumberFormat="1">
      <alignment horizontal="right" vertical="center"/>
    </xf>
    <xf borderId="88" fillId="0" fontId="126" numFmtId="37" xfId="0" applyAlignment="1" applyBorder="1" applyFont="1" applyNumberFormat="1">
      <alignment horizontal="center" vertical="center"/>
    </xf>
    <xf borderId="0" fillId="0" fontId="22" numFmtId="0" xfId="0" applyAlignment="1" applyFont="1">
      <alignment vertical="center"/>
    </xf>
    <xf borderId="132" fillId="13" fontId="126" numFmtId="37" xfId="0" applyAlignment="1" applyBorder="1" applyFont="1" applyNumberFormat="1">
      <alignment horizontal="left" shrinkToFit="0" vertical="center" wrapText="1"/>
    </xf>
    <xf borderId="88" fillId="0" fontId="125" numFmtId="168" xfId="0" applyAlignment="1" applyBorder="1" applyFont="1" applyNumberFormat="1">
      <alignment horizontal="center" vertical="center"/>
    </xf>
    <xf borderId="5" fillId="0" fontId="125"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5" numFmtId="38" xfId="0" applyAlignment="1" applyBorder="1" applyFont="1" applyNumberFormat="1">
      <alignment horizontal="center" vertical="top"/>
    </xf>
    <xf borderId="107" fillId="0" fontId="125"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27"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6" numFmtId="175" xfId="0" applyAlignment="1" applyBorder="1" applyFont="1" applyNumberFormat="1">
      <alignment horizontal="center" vertical="center"/>
    </xf>
    <xf borderId="51" fillId="14" fontId="128"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6"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6"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6" numFmtId="181" xfId="0" applyAlignment="1" applyBorder="1" applyFont="1" applyNumberFormat="1">
      <alignment horizontal="center" vertical="top"/>
    </xf>
    <xf quotePrefix="1" borderId="5" fillId="0" fontId="126" numFmtId="188" xfId="0" applyAlignment="1" applyBorder="1" applyFont="1" applyNumberFormat="1">
      <alignment horizontal="center" vertical="center"/>
    </xf>
    <xf borderId="5" fillId="0" fontId="126"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29"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0"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0" fillId="0" fontId="23" numFmtId="0" xfId="0" applyAlignment="1" applyFont="1">
      <alignment horizontal="center" readingOrder="0" shrinkToFit="0" vertical="top" wrapText="1"/>
    </xf>
    <xf borderId="2" fillId="3" fontId="110" numFmtId="0" xfId="0" applyBorder="1" applyFont="1"/>
    <xf borderId="5" fillId="3" fontId="108" numFmtId="195" xfId="0" applyAlignment="1" applyBorder="1" applyFont="1" applyNumberFormat="1">
      <alignment readingOrder="0"/>
    </xf>
    <xf borderId="0" fillId="3" fontId="110" numFmtId="195" xfId="0" applyAlignment="1" applyFont="1" applyNumberFormat="1">
      <alignment vertical="top"/>
    </xf>
    <xf borderId="0" fillId="0" fontId="102" numFmtId="10" xfId="0" applyAlignment="1" applyFont="1" applyNumberFormat="1">
      <alignment horizontal="left" vertical="bottom"/>
    </xf>
    <xf borderId="0" fillId="0" fontId="118" numFmtId="3" xfId="0" applyAlignment="1" applyFont="1" applyNumberFormat="1">
      <alignment horizontal="center" readingOrder="0" vertical="center"/>
    </xf>
    <xf borderId="0" fillId="3" fontId="23" numFmtId="0" xfId="0" applyAlignment="1" applyFont="1">
      <alignment readingOrder="0" vertical="center"/>
    </xf>
    <xf borderId="0" fillId="3" fontId="131" numFmtId="9" xfId="0" applyAlignment="1" applyFont="1" applyNumberFormat="1">
      <alignment shrinkToFit="0" vertical="center" wrapText="1"/>
    </xf>
    <xf borderId="0" fillId="3" fontId="114" numFmtId="0" xfId="0" applyAlignment="1" applyFont="1">
      <alignment horizontal="center" readingOrder="0" shrinkToFit="0" vertical="center" wrapText="0"/>
    </xf>
    <xf borderId="0" fillId="0" fontId="132" numFmtId="0" xfId="0" applyAlignment="1" applyFont="1">
      <alignment horizontal="center" readingOrder="0"/>
    </xf>
    <xf borderId="0" fillId="0" fontId="102" numFmtId="0" xfId="0" applyAlignment="1" applyFont="1">
      <alignment readingOrder="0" shrinkToFit="0" vertical="center" wrapText="1"/>
    </xf>
    <xf borderId="0" fillId="3" fontId="117"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18" numFmtId="0" xfId="0" applyAlignment="1" applyFont="1">
      <alignment horizontal="center"/>
    </xf>
    <xf borderId="0" fillId="3" fontId="113"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3" fontId="10" numFmtId="0" xfId="0" applyAlignment="1" applyFont="1">
      <alignment readingOrder="0" vertical="bottom"/>
    </xf>
    <xf borderId="0" fillId="3" fontId="113"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3"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6"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5"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5" fontId="133"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0" fillId="3"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1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10"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5" fontId="53" numFmtId="0" xfId="0" applyBorder="1" applyFont="1"/>
    <xf borderId="5" fillId="0" fontId="51" numFmtId="0" xfId="0" applyAlignment="1" applyBorder="1" applyFont="1">
      <alignment horizontal="center" vertical="center"/>
    </xf>
    <xf borderId="48" fillId="5" fontId="134" numFmtId="0" xfId="0" applyAlignment="1" applyBorder="1" applyFont="1">
      <alignment horizontal="center"/>
    </xf>
    <xf borderId="78" fillId="5" fontId="53" numFmtId="0" xfId="0" applyAlignment="1" applyBorder="1" applyFont="1">
      <alignment vertical="center"/>
    </xf>
    <xf borderId="0" fillId="5"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5" fontId="60" numFmtId="165" xfId="0" applyAlignment="1" applyBorder="1" applyFont="1" applyNumberFormat="1">
      <alignment horizontal="center" readingOrder="0"/>
    </xf>
    <xf borderId="78" fillId="5"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5" fontId="56" numFmtId="0" xfId="0" applyAlignment="1" applyBorder="1" applyFont="1">
      <alignment horizontal="center" readingOrder="0"/>
    </xf>
    <xf borderId="75" fillId="5" fontId="60" numFmtId="165" xfId="0" applyAlignment="1" applyBorder="1" applyFont="1" applyNumberFormat="1">
      <alignment horizontal="center"/>
    </xf>
    <xf borderId="75" fillId="5" fontId="43" numFmtId="165" xfId="0" applyAlignment="1" applyBorder="1" applyFont="1" applyNumberFormat="1">
      <alignment horizontal="center"/>
    </xf>
    <xf borderId="77" fillId="5" fontId="57" numFmtId="2"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160" fillId="5" fontId="56" numFmtId="0" xfId="0" applyAlignment="1" applyBorder="1" applyFont="1">
      <alignment horizontal="center" readingOrder="0"/>
    </xf>
    <xf borderId="150" fillId="5" fontId="60" numFmtId="165" xfId="0" applyAlignment="1" applyBorder="1" applyFont="1" applyNumberFormat="1">
      <alignment horizontal="center"/>
    </xf>
    <xf borderId="2" fillId="5" fontId="43" numFmtId="0" xfId="0" applyAlignment="1" applyBorder="1" applyFont="1">
      <alignment horizontal="center"/>
    </xf>
    <xf borderId="75" fillId="5"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2"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5" fontId="2" numFmtId="0" xfId="0" applyAlignment="1" applyBorder="1" applyFont="1">
      <alignment vertical="bottom"/>
    </xf>
    <xf borderId="48" fillId="5" fontId="2" numFmtId="0" xfId="0" applyAlignment="1" applyBorder="1" applyFont="1">
      <alignment vertical="bottom"/>
    </xf>
    <xf borderId="48" fillId="5" fontId="134" numFmtId="0" xfId="0" applyAlignment="1" applyBorder="1" applyFont="1">
      <alignment horizontal="center" vertical="bottom"/>
    </xf>
    <xf borderId="72" fillId="5" fontId="2" numFmtId="0" xfId="0" applyAlignment="1" applyBorder="1" applyFont="1">
      <alignment vertical="bottom"/>
    </xf>
    <xf borderId="60" fillId="5" fontId="135" numFmtId="0" xfId="0" applyAlignment="1" applyBorder="1" applyFont="1">
      <alignment horizontal="center" vertical="bottom"/>
    </xf>
    <xf borderId="2" fillId="5" fontId="60" numFmtId="165" xfId="0" applyAlignment="1" applyBorder="1" applyFont="1" applyNumberFormat="1">
      <alignment horizontal="center" vertical="bottom"/>
    </xf>
    <xf borderId="61" fillId="5" fontId="136" numFmtId="165" xfId="0" applyAlignment="1" applyBorder="1" applyFont="1" applyNumberFormat="1">
      <alignment horizontal="center" vertical="bottom"/>
    </xf>
    <xf borderId="192" fillId="5"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5" fontId="135" numFmtId="0" xfId="0" applyAlignment="1" applyBorder="1" applyFont="1">
      <alignment horizontal="center" vertical="bottom"/>
    </xf>
    <xf borderId="74" fillId="5" fontId="135" numFmtId="0" xfId="0" applyAlignment="1" applyBorder="1" applyFont="1">
      <alignment horizontal="center" vertical="bottom"/>
    </xf>
    <xf borderId="75" fillId="18" fontId="2" numFmtId="165" xfId="0" applyAlignment="1" applyBorder="1" applyFill="1" applyFont="1" applyNumberFormat="1">
      <alignment vertical="bottom"/>
    </xf>
    <xf borderId="75" fillId="5" fontId="136"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35" numFmtId="0" xfId="0" applyAlignment="1" applyBorder="1" applyFont="1">
      <alignment horizontal="center" vertical="bottom"/>
    </xf>
    <xf borderId="48" fillId="18" fontId="2" numFmtId="165" xfId="0" applyAlignment="1" applyBorder="1" applyFont="1" applyNumberFormat="1">
      <alignment vertical="bottom"/>
    </xf>
    <xf borderId="150" fillId="5" fontId="136"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5" fontId="43" numFmtId="0" xfId="0" applyBorder="1" applyFont="1"/>
    <xf borderId="2" fillId="5" fontId="137" numFmtId="165" xfId="0" applyBorder="1" applyFont="1" applyNumberFormat="1"/>
    <xf borderId="2" fillId="5"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5" fontId="43" numFmtId="0" xfId="0" applyBorder="1" applyFont="1"/>
    <xf borderId="75" fillId="5" fontId="137" numFmtId="165" xfId="0" applyBorder="1" applyFont="1" applyNumberFormat="1"/>
    <xf borderId="75" fillId="5" fontId="43" numFmtId="0" xfId="0" applyBorder="1" applyFont="1"/>
    <xf borderId="3" fillId="0" fontId="122" numFmtId="0" xfId="0" applyAlignment="1" applyBorder="1" applyFont="1">
      <alignment horizontal="left"/>
    </xf>
    <xf borderId="3" fillId="0" fontId="138" numFmtId="175" xfId="0" applyBorder="1" applyFont="1" applyNumberFormat="1"/>
    <xf borderId="4" fillId="0" fontId="21" numFmtId="0" xfId="0" applyBorder="1" applyFont="1"/>
    <xf borderId="5" fillId="11" fontId="9" numFmtId="167" xfId="0" applyAlignment="1" applyBorder="1" applyFont="1" applyNumberFormat="1">
      <alignment horizontal="right" vertical="top"/>
    </xf>
    <xf borderId="88" fillId="5"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5" fontId="126" numFmtId="169" xfId="0" applyAlignment="1" applyFont="1" applyNumberFormat="1">
      <alignment vertical="top"/>
    </xf>
    <xf borderId="0" fillId="5" fontId="139" numFmtId="0" xfId="0" applyFont="1"/>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1" fontId="20" numFmtId="169" xfId="0" applyAlignment="1" applyBorder="1" applyFont="1" applyNumberFormat="1">
      <alignment horizontal="right" vertical="top"/>
    </xf>
    <xf borderId="0" fillId="3" fontId="140" numFmtId="0" xfId="0" applyAlignment="1" applyFont="1">
      <alignment readingOrder="0" shrinkToFit="0" wrapText="1"/>
    </xf>
    <xf borderId="84" fillId="11" fontId="22" numFmtId="18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7" fillId="0" fontId="34" numFmtId="0" xfId="0" applyBorder="1" applyFont="1"/>
    <xf borderId="88" fillId="11"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3" fontId="45" numFmtId="178" xfId="0" applyAlignment="1" applyFont="1" applyNumberFormat="1">
      <alignment horizontal="left" vertical="top"/>
    </xf>
    <xf borderId="0" fillId="3"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3"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5" fontId="10" numFmtId="0" xfId="0" applyAlignment="1" applyBorder="1" applyFont="1">
      <alignment readingOrder="0"/>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97"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5"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5" fillId="3" fontId="38" numFmtId="169" xfId="0" applyAlignment="1" applyBorder="1" applyFont="1" applyNumberFormat="1">
      <alignment horizontal="center" vertical="top"/>
    </xf>
    <xf borderId="2" fillId="3" fontId="36" numFmtId="189" xfId="0" applyAlignment="1" applyBorder="1" applyFont="1" applyNumberFormat="1">
      <alignment readingOrder="0" vertical="top"/>
    </xf>
    <xf borderId="2" fillId="3" fontId="35" numFmtId="0" xfId="0" applyBorder="1" applyFont="1"/>
    <xf borderId="5" fillId="0" fontId="38" numFmtId="168" xfId="0" applyAlignment="1" applyBorder="1" applyFont="1" applyNumberFormat="1">
      <alignment horizontal="center" vertical="top"/>
    </xf>
    <xf borderId="135" fillId="3" fontId="36" numFmtId="189" xfId="0" applyAlignment="1" applyBorder="1" applyFont="1" applyNumberFormat="1">
      <alignment horizontal="right" vertical="top"/>
    </xf>
    <xf borderId="5" fillId="3" fontId="38" numFmtId="166" xfId="0" applyAlignment="1" applyBorder="1" applyFont="1" applyNumberFormat="1">
      <alignment horizontal="center" vertical="top"/>
    </xf>
    <xf borderId="136" fillId="3"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3" fontId="51"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8" fontId="141" numFmtId="0" xfId="0" applyAlignment="1" applyFont="1">
      <alignment horizontal="center" vertical="center"/>
    </xf>
    <xf borderId="0" fillId="6" fontId="2" numFmtId="0" xfId="0" applyAlignment="1" applyFont="1">
      <alignment vertical="bottom"/>
    </xf>
    <xf borderId="0" fillId="6" fontId="2" numFmtId="0" xfId="0" applyAlignment="1" applyFont="1">
      <alignment horizontal="center" vertical="bottom"/>
    </xf>
    <xf borderId="132" fillId="8" fontId="23"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2" numFmtId="0" xfId="0" applyAlignment="1" applyFont="1">
      <alignment readingOrder="0"/>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8"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5"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0" xfId="0" applyAlignment="1" applyBorder="1" applyFont="1">
      <alignment vertical="center"/>
    </xf>
    <xf borderId="177" fillId="5" fontId="50" numFmtId="0" xfId="0" applyAlignment="1" applyBorder="1" applyFont="1">
      <alignment vertical="center"/>
    </xf>
    <xf borderId="178" fillId="5" fontId="50" numFmtId="0" xfId="0" applyAlignment="1" applyBorder="1" applyFont="1">
      <alignment vertical="center"/>
    </xf>
    <xf borderId="179" fillId="5" fontId="10" numFmtId="0" xfId="0" applyBorder="1" applyFont="1"/>
    <xf borderId="180" fillId="5" fontId="9" numFmtId="0" xfId="0" applyAlignment="1" applyBorder="1" applyFont="1">
      <alignment horizontal="right" vertical="center"/>
    </xf>
    <xf borderId="179" fillId="5" fontId="50" numFmtId="0" xfId="0" applyAlignment="1" applyBorder="1" applyFont="1">
      <alignment horizontal="center" vertical="center"/>
    </xf>
    <xf borderId="179"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5" fontId="10" numFmtId="0" xfId="0" applyBorder="1" applyFont="1"/>
    <xf borderId="182" fillId="5" fontId="10" numFmtId="0" xfId="0" applyBorder="1" applyFont="1"/>
    <xf borderId="183" fillId="5" fontId="9" numFmtId="0" xfId="0" applyAlignment="1" applyBorder="1" applyFont="1">
      <alignment horizontal="right" vertical="center"/>
    </xf>
    <xf borderId="181" fillId="5"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84" fillId="5" fontId="139"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201" fillId="5"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43" numFmtId="165" xfId="0" applyAlignment="1" applyBorder="1" applyFont="1" applyNumberFormat="1">
      <alignment horizontal="center"/>
    </xf>
    <xf borderId="62" fillId="5"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43"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43"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7"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7"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5"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5" fontId="126"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84" fillId="11" fontId="82" numFmtId="180" xfId="0" applyAlignment="1" applyBorder="1" applyFont="1" applyNumberFormat="1">
      <alignment horizontal="right"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44" numFmtId="0" xfId="0" applyAlignment="1" applyFont="1">
      <alignment readingOrder="0" vertical="top"/>
    </xf>
    <xf borderId="0" fillId="3" fontId="145" numFmtId="0" xfId="0" applyAlignment="1" applyFont="1">
      <alignment readingOrder="0"/>
    </xf>
    <xf borderId="0" fillId="0" fontId="144" numFmtId="0" xfId="0" applyAlignment="1" applyFont="1">
      <alignment readingOrder="0" shrinkToFit="0" vertical="bottom" wrapText="0"/>
    </xf>
    <xf borderId="205" fillId="3" fontId="115" numFmtId="0" xfId="0" applyAlignment="1" applyBorder="1" applyFont="1">
      <alignment horizontal="center" readingOrder="0" shrinkToFit="0" vertical="top" wrapText="1"/>
    </xf>
    <xf borderId="206" fillId="0" fontId="34" numFmtId="0" xfId="0" applyBorder="1" applyFont="1"/>
    <xf borderId="0" fillId="3" fontId="131" numFmtId="165" xfId="0" applyAlignment="1" applyFont="1" applyNumberFormat="1">
      <alignment vertical="top"/>
    </xf>
    <xf borderId="155" fillId="0" fontId="34" numFmtId="0" xfId="0" applyBorder="1" applyFont="1"/>
    <xf borderId="0" fillId="3" fontId="113" numFmtId="165" xfId="0" applyAlignment="1" applyFont="1" applyNumberFormat="1">
      <alignment vertical="top"/>
    </xf>
    <xf borderId="0" fillId="0" fontId="20" numFmtId="0" xfId="0" applyAlignment="1" applyFont="1">
      <alignment readingOrder="0" vertical="top"/>
    </xf>
    <xf borderId="66" fillId="3"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7" numFmtId="0" xfId="0" applyAlignment="1" applyFont="1">
      <alignment horizontal="right" vertical="bottom"/>
    </xf>
    <xf borderId="0" fillId="0" fontId="146" numFmtId="0" xfId="0" applyAlignment="1" applyFont="1">
      <alignment readingOrder="0"/>
    </xf>
    <xf borderId="0" fillId="0" fontId="146" numFmtId="0" xfId="0" applyFont="1"/>
    <xf borderId="149" fillId="3" fontId="117" numFmtId="202"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47" numFmtId="0" xfId="0" applyAlignment="1" applyFont="1">
      <alignment readingOrder="0"/>
    </xf>
    <xf borderId="0" fillId="0" fontId="148" numFmtId="0" xfId="0" applyAlignment="1" applyFont="1">
      <alignment readingOrder="0"/>
    </xf>
    <xf borderId="0" fillId="0" fontId="149" numFmtId="0" xfId="0" applyFont="1"/>
    <xf borderId="0" fillId="3"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3"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0"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1"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2" numFmtId="0" xfId="0" applyAlignment="1" applyBorder="1" applyFont="1">
      <alignment horizontal="left"/>
    </xf>
    <xf borderId="185" fillId="14" fontId="152" numFmtId="0" xfId="0" applyAlignment="1" applyBorder="1" applyFont="1">
      <alignment horizontal="left"/>
    </xf>
    <xf borderId="186" fillId="14" fontId="92" numFmtId="0" xfId="0" applyAlignment="1" applyBorder="1" applyFont="1">
      <alignment horizontal="left"/>
    </xf>
    <xf borderId="186" fillId="14" fontId="152"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3" fontId="150"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3"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3"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7"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7"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7" numFmtId="165" xfId="0" applyBorder="1" applyFont="1" applyNumberFormat="1"/>
    <xf borderId="2" fillId="14" fontId="43" numFmtId="165" xfId="0" applyBorder="1" applyFont="1" applyNumberFormat="1"/>
    <xf borderId="75" fillId="14" fontId="137"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4" numFmtId="0" xfId="0" applyAlignment="1" applyFont="1">
      <alignment horizontal="left" shrinkToFit="0" wrapText="1"/>
    </xf>
    <xf borderId="204" fillId="14" fontId="155" numFmtId="169" xfId="0" applyAlignment="1" applyBorder="1" applyFont="1" applyNumberFormat="1">
      <alignment horizontal="center" vertical="top"/>
    </xf>
    <xf borderId="0" fillId="14" fontId="139" numFmtId="0" xfId="0" applyFont="1"/>
    <xf borderId="2" fillId="14" fontId="69" numFmtId="169" xfId="0" applyAlignment="1" applyBorder="1" applyFont="1" applyNumberFormat="1">
      <alignment vertical="top"/>
    </xf>
    <xf borderId="0" fillId="0" fontId="154"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4"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5" numFmtId="178" xfId="0" applyAlignment="1" applyBorder="1" applyFont="1" applyNumberFormat="1">
      <alignment horizontal="left" shrinkToFit="0" vertical="center" wrapText="1"/>
    </xf>
    <xf borderId="92" fillId="0" fontId="125" numFmtId="0" xfId="0" applyAlignment="1" applyBorder="1" applyFont="1">
      <alignment horizontal="center" shrinkToFit="0" vertical="center" wrapText="1"/>
    </xf>
    <xf borderId="92" fillId="0" fontId="125" numFmtId="182" xfId="0" applyAlignment="1" applyBorder="1" applyFont="1" applyNumberFormat="1">
      <alignment horizontal="center" vertical="center"/>
    </xf>
    <xf borderId="92" fillId="3" fontId="125"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6" numFmtId="181" xfId="0" applyAlignment="1" applyBorder="1" applyFont="1" applyNumberFormat="1">
      <alignment vertical="top"/>
    </xf>
    <xf borderId="4" fillId="0" fontId="126" numFmtId="181" xfId="0" applyAlignment="1" applyBorder="1" applyFont="1" applyNumberFormat="1">
      <alignment vertical="top"/>
    </xf>
    <xf quotePrefix="1" borderId="5" fillId="0" fontId="126"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6"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10" fontId="69" numFmtId="37" xfId="0" applyAlignment="1" applyBorder="1" applyFont="1" applyNumberFormat="1">
      <alignment horizontal="left" shrinkToFit="0" vertical="center" wrapText="1"/>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57" numFmtId="0" xfId="0" applyAlignment="1" applyFont="1">
      <alignment readingOrder="0"/>
    </xf>
    <xf borderId="0" fillId="3"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5"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6" fillId="3" fontId="23" numFmtId="0" xfId="0" applyAlignment="1" applyBorder="1" applyFont="1">
      <alignment horizontal="center" readingOrder="0" vertical="top"/>
    </xf>
    <xf borderId="206" fillId="0" fontId="1" numFmtId="0" xfId="0" applyBorder="1" applyFont="1"/>
    <xf borderId="206" fillId="3"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1" fillId="0" fontId="38" numFmtId="2" xfId="0" applyAlignment="1" applyBorder="1" applyFont="1" applyNumberFormat="1">
      <alignment horizontal="center" readingOrder="0" vertical="center"/>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50" fillId="0" fontId="9" numFmtId="2" xfId="0" applyAlignment="1" applyBorder="1" applyFont="1" applyNumberFormat="1">
      <alignment horizontal="center" readingOrder="0" vertical="center"/>
    </xf>
    <xf borderId="2" fillId="14" fontId="60" numFmtId="165" xfId="0" applyAlignment="1" applyBorder="1" applyFont="1" applyNumberFormat="1">
      <alignment horizontal="center" readingOrder="0"/>
    </xf>
    <xf borderId="63" fillId="14" fontId="56" numFmtId="0" xfId="0" applyAlignment="1" applyBorder="1" applyFont="1">
      <alignment horizontal="center" readingOrder="0"/>
    </xf>
    <xf borderId="0" fillId="0" fontId="154" numFmtId="0" xfId="0" applyAlignment="1" applyFont="1">
      <alignment horizontal="left" readingOrder="0" shrinkToFit="0" wrapText="1"/>
    </xf>
    <xf borderId="92" fillId="3"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92" fillId="21" fontId="69" numFmtId="175" xfId="0" applyAlignment="1" applyBorder="1" applyFont="1" applyNumberFormat="1">
      <alignment horizontal="center" readingOrder="0" vertical="center"/>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22" fontId="157" numFmtId="0" xfId="0" applyAlignment="1" applyFill="1" applyFont="1">
      <alignment readingOrder="0"/>
    </xf>
    <xf borderId="0" fillId="22" fontId="157" numFmtId="0" xfId="0" applyFont="1"/>
    <xf borderId="0" fillId="23" fontId="158" numFmtId="0" xfId="0" applyAlignment="1" applyFill="1" applyFont="1">
      <alignment readingOrder="0"/>
    </xf>
    <xf borderId="0" fillId="3" fontId="158" numFmtId="0" xfId="0" applyAlignment="1" applyFont="1">
      <alignment horizontal="center" readingOrder="0"/>
    </xf>
    <xf borderId="0" fillId="3" fontId="1" numFmtId="0" xfId="0" applyAlignment="1" applyFont="1">
      <alignment readingOrder="0"/>
    </xf>
    <xf borderId="0" fillId="24" fontId="158" numFmtId="0" xfId="0" applyAlignment="1" applyFill="1" applyFont="1">
      <alignment horizontal="center" readingOrder="0"/>
    </xf>
    <xf borderId="5" fillId="24" fontId="158" numFmtId="0" xfId="0" applyAlignment="1" applyBorder="1" applyFont="1">
      <alignment horizontal="center" readingOrder="0"/>
    </xf>
    <xf borderId="0" fillId="3" fontId="157" numFmtId="0" xfId="0" applyAlignment="1" applyFont="1">
      <alignment readingOrder="0"/>
    </xf>
    <xf borderId="78" fillId="24" fontId="158" numFmtId="0" xfId="0" applyAlignment="1" applyBorder="1" applyFont="1">
      <alignment horizontal="center" readingOrder="0"/>
    </xf>
    <xf borderId="0" fillId="3" fontId="157" numFmtId="0" xfId="0" applyFont="1"/>
    <xf borderId="229" fillId="25" fontId="159"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0" numFmtId="0" xfId="0" applyAlignment="1" applyBorder="1" applyFill="1" applyFont="1">
      <alignment readingOrder="0"/>
    </xf>
    <xf borderId="2" fillId="26" fontId="91" numFmtId="0" xfId="0" applyBorder="1" applyFont="1"/>
    <xf borderId="232" fillId="27" fontId="134" numFmtId="17" xfId="0" applyAlignment="1" applyBorder="1" applyFill="1" applyFont="1" applyNumberFormat="1">
      <alignment horizontal="center" vertical="top"/>
    </xf>
    <xf borderId="233" fillId="27" fontId="134" numFmtId="0" xfId="0" applyAlignment="1" applyBorder="1" applyFont="1">
      <alignment horizontal="left" vertical="top"/>
    </xf>
    <xf borderId="233" fillId="27" fontId="134" numFmtId="1" xfId="0" applyAlignment="1" applyBorder="1" applyFont="1" applyNumberFormat="1">
      <alignment horizontal="center" vertical="top"/>
    </xf>
    <xf borderId="234" fillId="27" fontId="134" numFmtId="1" xfId="0" applyAlignment="1" applyBorder="1" applyFont="1" applyNumberFormat="1">
      <alignment horizontal="center" vertical="top"/>
    </xf>
    <xf borderId="233" fillId="27" fontId="134" numFmtId="1" xfId="0" applyAlignment="1" applyBorder="1" applyFont="1" applyNumberFormat="1">
      <alignment horizontal="left" readingOrder="0" vertical="top"/>
    </xf>
    <xf borderId="233" fillId="27" fontId="134" numFmtId="1" xfId="0" applyAlignment="1" applyBorder="1" applyFont="1" applyNumberFormat="1">
      <alignment horizontal="left" vertical="top"/>
    </xf>
    <xf borderId="233" fillId="27" fontId="134" numFmtId="187" xfId="0" applyAlignment="1" applyBorder="1" applyFont="1" applyNumberFormat="1">
      <alignment horizontal="center" vertical="top"/>
    </xf>
    <xf borderId="235" fillId="27" fontId="134" numFmtId="187" xfId="0" applyAlignment="1" applyBorder="1" applyFont="1" applyNumberFormat="1">
      <alignment horizontal="center" vertical="top"/>
    </xf>
    <xf borderId="234" fillId="27" fontId="134" numFmtId="187" xfId="0" applyAlignment="1" applyBorder="1" applyFont="1" applyNumberFormat="1">
      <alignment horizontal="center" vertical="top"/>
    </xf>
    <xf borderId="235" fillId="27" fontId="134" numFmtId="183" xfId="0" applyAlignment="1" applyBorder="1" applyFont="1" applyNumberFormat="1">
      <alignment horizontal="center" vertical="top"/>
    </xf>
    <xf borderId="235" fillId="27" fontId="134" numFmtId="183" xfId="0" applyAlignment="1" applyBorder="1" applyFont="1" applyNumberFormat="1">
      <alignment horizontal="center" readingOrder="0" vertical="top"/>
    </xf>
    <xf borderId="236" fillId="27" fontId="134" numFmtId="183" xfId="0" applyAlignment="1" applyBorder="1" applyFont="1" applyNumberFormat="1">
      <alignment horizontal="center" vertical="top"/>
    </xf>
    <xf borderId="0" fillId="0" fontId="134"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21" numFmtId="0" xfId="0" applyAlignment="1" applyBorder="1" applyFont="1">
      <alignment vertical="bottom"/>
    </xf>
    <xf borderId="139" fillId="0" fontId="161" numFmtId="0" xfId="0" applyAlignment="1" applyBorder="1" applyFont="1">
      <alignment horizontal="right" readingOrder="0" vertical="bottom"/>
    </xf>
    <xf borderId="139" fillId="28"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162"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21" numFmtId="0" xfId="0" applyAlignment="1" applyBorder="1" applyFont="1">
      <alignment vertical="bottom"/>
    </xf>
    <xf borderId="53" fillId="0" fontId="161" numFmtId="0" xfId="0" applyAlignment="1" applyBorder="1" applyFont="1">
      <alignment horizontal="right" readingOrder="0" vertical="bottom"/>
    </xf>
    <xf borderId="53" fillId="28" fontId="2" numFmtId="0" xfId="0" applyAlignment="1" applyBorder="1" applyFont="1">
      <alignment vertical="bottom"/>
    </xf>
    <xf borderId="53" fillId="0" fontId="21" numFmtId="170" xfId="0" applyAlignment="1" applyBorder="1" applyFont="1" applyNumberFormat="1">
      <alignment horizontal="right" vertical="bottom"/>
    </xf>
    <xf borderId="53" fillId="0" fontId="21" numFmtId="195" xfId="0" applyAlignment="1" applyBorder="1" applyFont="1" applyNumberFormat="1">
      <alignment horizontal="right" readingOrder="0" vertical="bottom"/>
    </xf>
    <xf borderId="78" fillId="0" fontId="21" numFmtId="0" xfId="0" applyAlignment="1" applyBorder="1" applyFont="1">
      <alignment shrinkToFit="0" vertical="center" wrapText="1"/>
    </xf>
    <xf borderId="78" fillId="0" fontId="163" numFmtId="0" xfId="0" applyAlignment="1" applyBorder="1" applyFont="1">
      <alignment horizontal="left" readingOrder="0" shrinkToFit="0" wrapText="1"/>
    </xf>
    <xf borderId="53" fillId="0" fontId="21" numFmtId="0" xfId="0" applyAlignment="1" applyBorder="1" applyFont="1">
      <alignment readingOrder="0" vertical="top"/>
    </xf>
    <xf borderId="53" fillId="0" fontId="21" numFmtId="0" xfId="0" applyAlignment="1" applyBorder="1" applyFont="1">
      <alignment vertical="top"/>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53" fillId="0" fontId="161" numFmtId="0" xfId="0" applyAlignment="1" applyBorder="1" applyFont="1">
      <alignment horizontal="right" vertical="bottom"/>
    </xf>
    <xf borderId="78" fillId="0" fontId="164" numFmtId="0" xfId="0" applyAlignment="1" applyBorder="1" applyFont="1">
      <alignment horizontal="left" shrinkToFit="0" vertical="top" wrapText="1"/>
    </xf>
    <xf borderId="78" fillId="0" fontId="165"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6" numFmtId="0" xfId="0" applyAlignment="1" applyBorder="1" applyFont="1">
      <alignment horizontal="left"/>
    </xf>
    <xf borderId="2" fillId="29" fontId="20" numFmtId="0" xfId="0" applyBorder="1" applyFill="1" applyFont="1"/>
    <xf borderId="2" fillId="29" fontId="10" numFmtId="0" xfId="0" applyBorder="1" applyFont="1"/>
    <xf borderId="0" fillId="0" fontId="167" numFmtId="0" xfId="0" applyFont="1"/>
    <xf borderId="0" fillId="0" fontId="168"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1" numFmtId="0" xfId="0" applyAlignment="1" applyBorder="1" applyFont="1">
      <alignment horizontal="left" vertical="top"/>
    </xf>
    <xf borderId="78" fillId="0" fontId="21" numFmtId="0" xfId="0" applyBorder="1" applyFont="1"/>
    <xf borderId="78" fillId="0" fontId="161" numFmtId="0" xfId="0" applyAlignment="1" applyBorder="1" applyFont="1">
      <alignment vertical="top"/>
    </xf>
    <xf borderId="78" fillId="0" fontId="21" numFmtId="195" xfId="0" applyBorder="1" applyFont="1" applyNumberFormat="1"/>
    <xf borderId="78" fillId="0" fontId="169" numFmtId="0" xfId="0" applyAlignment="1" applyBorder="1" applyFont="1">
      <alignment horizontal="left" shrinkToFit="0" wrapText="1"/>
    </xf>
    <xf borderId="78" fillId="0" fontId="170" numFmtId="170" xfId="0" applyBorder="1" applyFont="1" applyNumberFormat="1"/>
    <xf borderId="78" fillId="0" fontId="170" numFmtId="170" xfId="0" applyAlignment="1" applyBorder="1" applyFont="1" applyNumberFormat="1">
      <alignment vertical="top"/>
    </xf>
    <xf borderId="237" fillId="25" fontId="159"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0" numFmtId="0" xfId="0" applyBorder="1" applyFont="1"/>
    <xf borderId="2" fillId="26" fontId="171" numFmtId="0" xfId="0" applyBorder="1" applyFont="1"/>
    <xf borderId="240" fillId="27" fontId="134" numFmtId="17" xfId="0" applyAlignment="1" applyBorder="1" applyFont="1" applyNumberFormat="1">
      <alignment horizontal="center" vertical="top"/>
    </xf>
    <xf borderId="241" fillId="27" fontId="134" numFmtId="0" xfId="0" applyAlignment="1" applyBorder="1" applyFont="1">
      <alignment horizontal="left" vertical="top"/>
    </xf>
    <xf borderId="242" fillId="27" fontId="134" numFmtId="0" xfId="0" applyAlignment="1" applyBorder="1" applyFont="1">
      <alignment horizontal="left" vertical="top"/>
    </xf>
    <xf borderId="241" fillId="27" fontId="134" numFmtId="1" xfId="0" applyAlignment="1" applyBorder="1" applyFont="1" applyNumberFormat="1">
      <alignment horizontal="center" vertical="top"/>
    </xf>
    <xf borderId="243" fillId="27" fontId="134" numFmtId="1" xfId="0" applyAlignment="1" applyBorder="1" applyFont="1" applyNumberFormat="1">
      <alignment horizontal="center" vertical="top"/>
    </xf>
    <xf borderId="242" fillId="27" fontId="134" numFmtId="1" xfId="0" applyAlignment="1" applyBorder="1" applyFont="1" applyNumberFormat="1">
      <alignment horizontal="left" readingOrder="0" vertical="top"/>
    </xf>
    <xf borderId="242" fillId="27" fontId="134" numFmtId="1" xfId="0" applyAlignment="1" applyBorder="1" applyFont="1" applyNumberFormat="1">
      <alignment horizontal="left" vertical="top"/>
    </xf>
    <xf borderId="242" fillId="27" fontId="134" numFmtId="187" xfId="0" applyAlignment="1" applyBorder="1" applyFont="1" applyNumberFormat="1">
      <alignment horizontal="center" vertical="top"/>
    </xf>
    <xf borderId="244" fillId="27" fontId="134" numFmtId="187" xfId="0" applyAlignment="1" applyBorder="1" applyFont="1" applyNumberFormat="1">
      <alignment horizontal="center" vertical="top"/>
    </xf>
    <xf borderId="243" fillId="27" fontId="134" numFmtId="187" xfId="0" applyAlignment="1" applyBorder="1" applyFont="1" applyNumberFormat="1">
      <alignment horizontal="center" vertical="top"/>
    </xf>
    <xf borderId="245" fillId="27" fontId="134" numFmtId="187" xfId="0" applyAlignment="1" applyBorder="1" applyFont="1" applyNumberFormat="1">
      <alignment horizontal="center" vertical="top"/>
    </xf>
    <xf borderId="246" fillId="27" fontId="134" numFmtId="183" xfId="0" applyAlignment="1" applyBorder="1" applyFont="1" applyNumberFormat="1">
      <alignment horizontal="center" shrinkToFit="0" vertical="top" wrapText="1"/>
    </xf>
    <xf borderId="245" fillId="27" fontId="134" numFmtId="187" xfId="0" applyAlignment="1" applyBorder="1" applyFont="1" applyNumberFormat="1">
      <alignment horizontal="center" shrinkToFit="0" vertical="top" wrapText="1"/>
    </xf>
    <xf borderId="245" fillId="27" fontId="134" numFmtId="183" xfId="0" applyAlignment="1" applyBorder="1" applyFont="1" applyNumberFormat="1">
      <alignment horizontal="center" shrinkToFit="0" vertical="top" wrapText="1"/>
    </xf>
    <xf borderId="242" fillId="27" fontId="134"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2" numFmtId="195" xfId="0" applyAlignment="1" applyBorder="1" applyFont="1" applyNumberFormat="1">
      <alignment horizontal="center"/>
    </xf>
    <xf borderId="247" fillId="29" fontId="172" numFmtId="195" xfId="0" applyAlignment="1" applyBorder="1" applyFont="1" applyNumberFormat="1">
      <alignment horizontal="center"/>
    </xf>
    <xf borderId="132" fillId="25" fontId="159"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3"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3"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8" fillId="0" fontId="174"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bottom" wrapText="1"/>
    </xf>
    <xf borderId="53" fillId="0" fontId="173"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horizontal="right" readingOrder="0" vertical="bottom"/>
    </xf>
    <xf borderId="49" fillId="0" fontId="175" numFmtId="0" xfId="0" applyAlignment="1" applyBorder="1" applyFont="1">
      <alignment readingOrder="0" shrinkToFit="0" vertical="bottom" wrapText="0"/>
    </xf>
    <xf borderId="53" fillId="0" fontId="104" numFmtId="0" xfId="0" applyAlignment="1" applyBorder="1" applyFont="1">
      <alignment readingOrder="0" vertical="bottom"/>
    </xf>
    <xf borderId="49" fillId="0" fontId="176" numFmtId="0" xfId="0" applyAlignment="1" applyBorder="1" applyFont="1">
      <alignment readingOrder="0" shrinkToFit="0" vertical="top" wrapText="0"/>
    </xf>
    <xf borderId="53" fillId="0" fontId="173" numFmtId="0" xfId="0" applyAlignment="1" applyBorder="1" applyFont="1">
      <alignment readingOrder="0" shrinkToFit="0" vertical="bottom" wrapText="0"/>
    </xf>
    <xf borderId="53" fillId="0" fontId="177" numFmtId="0" xfId="0" applyAlignment="1" applyBorder="1" applyFont="1">
      <alignment readingOrder="0" vertical="bottom"/>
    </xf>
    <xf borderId="53" fillId="0" fontId="104" numFmtId="0" xfId="0" applyAlignment="1" applyBorder="1" applyFont="1">
      <alignment readingOrder="0" shrinkToFit="0" wrapText="1"/>
    </xf>
    <xf borderId="78" fillId="0" fontId="10" numFmtId="0" xfId="0" applyAlignment="1" applyBorder="1" applyFont="1">
      <alignment readingOrder="0"/>
    </xf>
    <xf borderId="78" fillId="0" fontId="36" numFmtId="0" xfId="0" applyAlignment="1" applyBorder="1" applyFont="1">
      <alignment readingOrder="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7" numFmtId="0" xfId="0" applyBorder="1" applyFont="1"/>
    <xf borderId="53" fillId="0" fontId="104" numFmtId="0" xfId="0" applyAlignment="1" applyBorder="1" applyFont="1">
      <alignment horizontal="right" readingOrder="0" shrinkToFit="0" vertical="top" wrapText="1"/>
    </xf>
    <xf borderId="53" fillId="0" fontId="104" numFmtId="0" xfId="0" applyAlignment="1" applyBorder="1" applyFont="1">
      <alignment shrinkToFit="0" wrapText="1"/>
    </xf>
    <xf borderId="53" fillId="0" fontId="104" numFmtId="0" xfId="0" applyAlignment="1" applyBorder="1" applyFont="1">
      <alignment horizontal="right" vertical="bottom"/>
    </xf>
    <xf borderId="49" fillId="0" fontId="178" numFmtId="0" xfId="0" applyAlignment="1" applyBorder="1" applyFont="1">
      <alignment readingOrder="0" shrinkToFit="0" vertical="bottom" wrapText="0"/>
    </xf>
    <xf borderId="0" fillId="0" fontId="179" numFmtId="0" xfId="0" applyFont="1"/>
    <xf borderId="78" fillId="0" fontId="167" numFmtId="170" xfId="0" applyBorder="1" applyFont="1" applyNumberFormat="1"/>
    <xf borderId="78" fillId="0" fontId="36" numFmtId="0" xfId="0" applyBorder="1" applyFont="1"/>
    <xf borderId="78" fillId="0" fontId="10" numFmtId="170" xfId="0" applyBorder="1" applyFont="1" applyNumberFormat="1"/>
    <xf borderId="49" fillId="0" fontId="180" numFmtId="0" xfId="0" applyAlignment="1" applyBorder="1" applyFont="1">
      <alignment shrinkToFit="0" vertical="top" wrapText="0"/>
    </xf>
    <xf borderId="78" fillId="0" fontId="181" numFmtId="0" xfId="0" applyBorder="1" applyFont="1"/>
    <xf borderId="49" fillId="0" fontId="182" numFmtId="0" xfId="0" applyAlignment="1" applyBorder="1" applyFont="1">
      <alignment shrinkToFit="0" vertical="bottom" wrapText="0"/>
    </xf>
    <xf borderId="0" fillId="0" fontId="167" numFmtId="170" xfId="0" applyFont="1" applyNumberFormat="1"/>
    <xf borderId="0" fillId="0" fontId="10" numFmtId="195" xfId="0" applyFont="1" applyNumberFormat="1"/>
    <xf borderId="249" fillId="25" fontId="159"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0" numFmtId="0" xfId="0" applyBorder="1" applyFont="1"/>
    <xf borderId="66" fillId="26" fontId="91" numFmtId="0" xfId="0" applyBorder="1" applyFont="1"/>
    <xf borderId="66" fillId="26" fontId="171" numFmtId="0" xfId="0" applyBorder="1" applyFont="1"/>
    <xf borderId="252" fillId="27" fontId="134" numFmtId="17" xfId="0" applyAlignment="1" applyBorder="1" applyFont="1" applyNumberFormat="1">
      <alignment horizontal="center" vertical="top"/>
    </xf>
    <xf borderId="253" fillId="27" fontId="134" numFmtId="0" xfId="0" applyAlignment="1" applyBorder="1" applyFont="1">
      <alignment horizontal="left" vertical="top"/>
    </xf>
    <xf borderId="254" fillId="27" fontId="134" numFmtId="1" xfId="0" applyAlignment="1" applyBorder="1" applyFont="1" applyNumberFormat="1">
      <alignment horizontal="center" vertical="top"/>
    </xf>
    <xf borderId="255" fillId="27" fontId="134" numFmtId="1" xfId="0" applyAlignment="1" applyBorder="1" applyFont="1" applyNumberFormat="1">
      <alignment horizontal="center" vertical="top"/>
    </xf>
    <xf borderId="256" fillId="27" fontId="134" numFmtId="1" xfId="0" applyAlignment="1" applyBorder="1" applyFont="1" applyNumberFormat="1">
      <alignment horizontal="left" readingOrder="0" vertical="top"/>
    </xf>
    <xf borderId="253" fillId="27" fontId="134" numFmtId="1" xfId="0" applyAlignment="1" applyBorder="1" applyFont="1" applyNumberFormat="1">
      <alignment horizontal="left" vertical="top"/>
    </xf>
    <xf borderId="254" fillId="27" fontId="134" numFmtId="187" xfId="0" applyAlignment="1" applyBorder="1" applyFont="1" applyNumberFormat="1">
      <alignment horizontal="center" vertical="top"/>
    </xf>
    <xf borderId="255" fillId="27" fontId="134" numFmtId="187" xfId="0" applyAlignment="1" applyBorder="1" applyFont="1" applyNumberFormat="1">
      <alignment horizontal="center" vertical="top"/>
    </xf>
    <xf borderId="257" fillId="27" fontId="183" numFmtId="0" xfId="0" applyAlignment="1" applyBorder="1" applyFont="1">
      <alignment horizontal="center" vertical="top"/>
    </xf>
    <xf borderId="0" fillId="27" fontId="134" numFmtId="187" xfId="0" applyAlignment="1" applyFont="1" applyNumberFormat="1">
      <alignment horizontal="center" vertical="top"/>
    </xf>
    <xf borderId="258" fillId="27" fontId="134" numFmtId="187" xfId="0" applyAlignment="1" applyBorder="1" applyFont="1" applyNumberFormat="1">
      <alignment horizontal="center" shrinkToFit="0" vertical="top" wrapText="1"/>
    </xf>
    <xf borderId="236" fillId="27" fontId="183" numFmtId="0" xfId="0" applyAlignment="1" applyBorder="1" applyFont="1">
      <alignment shrinkToFit="0" vertical="top" wrapText="1"/>
    </xf>
    <xf borderId="131" fillId="0" fontId="134"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8"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vertical="bottom"/>
    </xf>
    <xf borderId="139" fillId="0" fontId="104" numFmtId="0" xfId="0" applyAlignment="1" applyBorder="1" applyFont="1">
      <alignment horizontal="center" shrinkToFit="0" wrapText="1"/>
    </xf>
    <xf borderId="248" fillId="0" fontId="184"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5" numFmtId="0" xfId="0" applyAlignment="1" applyBorder="1" applyFont="1">
      <alignment shrinkToFit="0" wrapText="1"/>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49" fillId="0" fontId="186" numFmtId="0" xfId="0" applyAlignment="1" applyBorder="1" applyFont="1">
      <alignment shrinkToFit="0" vertical="bottom" wrapText="0"/>
    </xf>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7"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4" numFmtId="183" xfId="0" applyAlignment="1" applyFont="1" applyNumberFormat="1">
      <alignment horizontal="center" shrinkToFit="0" vertical="top" wrapText="1"/>
    </xf>
    <xf borderId="78" fillId="0" fontId="185" numFmtId="0" xfId="0" applyBorder="1" applyFont="1"/>
    <xf borderId="78" fillId="0" fontId="188"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7" numFmtId="0" xfId="0" applyAlignment="1" applyFont="1">
      <alignment horizontal="center"/>
    </xf>
    <xf borderId="132" fillId="25" fontId="159" numFmtId="0" xfId="0" applyAlignment="1" applyBorder="1" applyFont="1">
      <alignment horizontal="left" readingOrder="0" shrinkToFit="0" wrapText="1"/>
    </xf>
    <xf borderId="260" fillId="27" fontId="134" numFmtId="187" xfId="0" applyAlignment="1" applyBorder="1" applyFont="1" applyNumberFormat="1">
      <alignment horizontal="center" vertical="top"/>
    </xf>
    <xf borderId="0" fillId="27" fontId="183" numFmtId="0" xfId="0" applyAlignment="1" applyFont="1">
      <alignment horizontal="center" vertical="top"/>
    </xf>
    <xf borderId="90" fillId="27" fontId="134"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89" numFmtId="0" xfId="0" applyAlignment="1" applyBorder="1" applyFill="1" applyFont="1">
      <alignment horizontal="center"/>
    </xf>
    <xf borderId="265" fillId="31" fontId="138" numFmtId="208" xfId="0" applyAlignment="1" applyBorder="1" applyFont="1" applyNumberFormat="1">
      <alignment horizontal="center"/>
    </xf>
    <xf borderId="266" fillId="31" fontId="138" numFmtId="208" xfId="0" applyAlignment="1" applyBorder="1" applyFont="1" applyNumberFormat="1">
      <alignment horizontal="center"/>
    </xf>
    <xf borderId="0" fillId="0" fontId="138" numFmtId="0" xfId="0" applyFont="1"/>
    <xf borderId="264" fillId="11" fontId="9" numFmtId="0" xfId="0" applyAlignment="1" applyBorder="1" applyFont="1">
      <alignment horizontal="center"/>
    </xf>
    <xf borderId="265" fillId="11" fontId="21" numFmtId="208" xfId="0" applyAlignment="1" applyBorder="1" applyFont="1" applyNumberFormat="1">
      <alignment horizontal="center"/>
    </xf>
    <xf borderId="266" fillId="11"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09" xfId="0" applyFont="1" applyNumberFormat="1"/>
    <xf borderId="2" fillId="3"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0" numFmtId="0" xfId="0" applyAlignment="1" applyFont="1">
      <alignment horizontal="right" vertical="top"/>
    </xf>
    <xf borderId="0" fillId="0" fontId="10" numFmtId="1" xfId="0" applyAlignment="1" applyFont="1" applyNumberFormat="1">
      <alignment shrinkToFit="1" vertical="top" wrapText="0"/>
    </xf>
    <xf borderId="88" fillId="0" fontId="191" numFmtId="0" xfId="0" applyAlignment="1" applyBorder="1" applyFont="1">
      <alignment vertical="center"/>
    </xf>
    <xf borderId="89" fillId="0" fontId="191" numFmtId="0" xfId="0" applyAlignment="1" applyBorder="1" applyFont="1">
      <alignment vertical="center"/>
    </xf>
    <xf borderId="90" fillId="0" fontId="191" numFmtId="0" xfId="0" applyAlignment="1" applyBorder="1" applyFont="1">
      <alignment vertical="center"/>
    </xf>
    <xf borderId="88" fillId="0" fontId="192" numFmtId="0" xfId="0" applyAlignment="1" applyBorder="1" applyFont="1">
      <alignment vertical="center"/>
    </xf>
    <xf borderId="270" fillId="0" fontId="193" numFmtId="0" xfId="0" applyAlignment="1" applyBorder="1" applyFont="1">
      <alignment horizontal="center" vertical="center"/>
    </xf>
    <xf borderId="271" fillId="0" fontId="193" numFmtId="0" xfId="0" applyAlignment="1" applyBorder="1" applyFont="1">
      <alignment horizontal="center" vertical="center"/>
    </xf>
    <xf borderId="272" fillId="0" fontId="193" numFmtId="0" xfId="0" applyAlignment="1" applyBorder="1" applyFont="1">
      <alignment horizontal="center" vertical="center"/>
    </xf>
    <xf borderId="273" fillId="0" fontId="192" numFmtId="0" xfId="0" applyAlignment="1" applyBorder="1" applyFont="1">
      <alignment shrinkToFit="0" vertical="center" wrapText="1"/>
    </xf>
    <xf borderId="96" fillId="0" fontId="194" numFmtId="49" xfId="0" applyAlignment="1" applyBorder="1" applyFont="1" applyNumberFormat="1">
      <alignment horizontal="center" vertical="center"/>
    </xf>
    <xf borderId="94" fillId="0" fontId="194" numFmtId="0" xfId="0" applyAlignment="1" applyBorder="1" applyFont="1">
      <alignment horizontal="center" vertical="center"/>
    </xf>
    <xf borderId="95" fillId="0" fontId="194" numFmtId="0" xfId="0" applyAlignment="1" applyBorder="1" applyFont="1">
      <alignment horizontal="center" vertical="center"/>
    </xf>
    <xf borderId="0" fillId="0" fontId="195" numFmtId="0" xfId="0" applyAlignment="1" applyFont="1">
      <alignment shrinkToFit="0" wrapText="1"/>
    </xf>
    <xf borderId="270" fillId="32" fontId="196" numFmtId="0" xfId="0" applyAlignment="1" applyBorder="1" applyFill="1" applyFont="1">
      <alignment horizontal="center" readingOrder="1" shrinkToFit="0" vertical="center" wrapText="1"/>
    </xf>
    <xf borderId="271" fillId="32" fontId="196" numFmtId="0" xfId="0" applyAlignment="1" applyBorder="1" applyFont="1">
      <alignment horizontal="center" readingOrder="1" shrinkToFit="0" vertical="center" wrapText="1"/>
    </xf>
    <xf borderId="272" fillId="32" fontId="196" numFmtId="0" xfId="0" applyAlignment="1" applyBorder="1" applyFont="1">
      <alignment horizontal="center" readingOrder="1" shrinkToFit="0" vertical="center" wrapText="1"/>
    </xf>
    <xf borderId="2" fillId="32" fontId="196" numFmtId="0" xfId="0" applyAlignment="1" applyBorder="1" applyFont="1">
      <alignment horizontal="center" readingOrder="1" shrinkToFit="0" vertical="center" wrapText="1"/>
    </xf>
    <xf borderId="0" fillId="0" fontId="194" numFmtId="0" xfId="0" applyAlignment="1" applyFont="1">
      <alignment vertical="center"/>
    </xf>
    <xf borderId="274" fillId="16" fontId="197" numFmtId="0" xfId="0" applyAlignment="1" applyBorder="1" applyFont="1">
      <alignment horizontal="center" readingOrder="1" vertical="center"/>
    </xf>
    <xf borderId="100" fillId="0" fontId="195" numFmtId="0" xfId="0" applyAlignment="1" applyBorder="1" applyFont="1">
      <alignment horizontal="center" readingOrder="1" shrinkToFit="0" vertical="center" wrapText="1"/>
    </xf>
    <xf borderId="78" fillId="0" fontId="195" numFmtId="0" xfId="0" applyAlignment="1" applyBorder="1" applyFont="1">
      <alignment horizontal="center" readingOrder="1" shrinkToFit="0" vertical="center" wrapText="1"/>
    </xf>
    <xf borderId="99" fillId="0" fontId="195" numFmtId="0" xfId="0" applyAlignment="1" applyBorder="1" applyFont="1">
      <alignment horizontal="center" readingOrder="1" shrinkToFit="0" vertical="center" wrapText="1"/>
    </xf>
    <xf borderId="0" fillId="0" fontId="195" numFmtId="0" xfId="0" applyAlignment="1" applyFont="1">
      <alignment horizontal="center" readingOrder="1" shrinkToFit="0" vertical="center" wrapText="1"/>
    </xf>
    <xf borderId="274" fillId="16" fontId="197" numFmtId="0" xfId="0" applyAlignment="1" applyBorder="1" applyFont="1">
      <alignment horizontal="center" readingOrder="1" vertical="center"/>
    </xf>
    <xf borderId="0" fillId="0" fontId="194" numFmtId="0" xfId="0" applyAlignment="1" applyFont="1">
      <alignment horizontal="left" readingOrder="0" shrinkToFit="0" vertical="center" wrapText="1"/>
    </xf>
    <xf borderId="0" fillId="0" fontId="192" numFmtId="0" xfId="0" applyAlignment="1" applyFont="1">
      <alignment horizontal="center" readingOrder="0"/>
    </xf>
    <xf borderId="0" fillId="0" fontId="192" numFmtId="0" xfId="0" applyAlignment="1" applyFont="1">
      <alignment horizontal="center"/>
    </xf>
    <xf borderId="275" fillId="0" fontId="198" numFmtId="0" xfId="0" applyAlignment="1" applyBorder="1" applyFont="1">
      <alignment horizontal="center"/>
    </xf>
    <xf borderId="276" fillId="0" fontId="198" numFmtId="0" xfId="0" applyAlignment="1" applyBorder="1" applyFont="1">
      <alignment horizontal="center"/>
    </xf>
    <xf borderId="277" fillId="0" fontId="199" numFmtId="0" xfId="0" applyAlignment="1" applyBorder="1" applyFont="1">
      <alignment horizontal="center"/>
    </xf>
    <xf borderId="2" fillId="29" fontId="194" numFmtId="0" xfId="0" applyAlignment="1" applyBorder="1" applyFont="1">
      <alignment horizontal="center" vertical="center"/>
    </xf>
    <xf borderId="2" fillId="29" fontId="15" numFmtId="0" xfId="0" applyAlignment="1" applyBorder="1" applyFont="1">
      <alignment horizontal="center"/>
    </xf>
    <xf borderId="2" fillId="29" fontId="194" numFmtId="0" xfId="0" applyBorder="1" applyFont="1"/>
    <xf borderId="2" fillId="29" fontId="10" numFmtId="0" xfId="0" applyAlignment="1" applyBorder="1" applyFont="1">
      <alignment horizontal="center"/>
    </xf>
    <xf borderId="2" fillId="29" fontId="194" numFmtId="0" xfId="0" applyAlignment="1" applyBorder="1" applyFont="1">
      <alignment horizontal="center"/>
    </xf>
    <xf borderId="2" fillId="29" fontId="10" numFmtId="49" xfId="0" applyAlignment="1" applyBorder="1" applyFont="1" applyNumberFormat="1">
      <alignment horizontal="center"/>
    </xf>
    <xf borderId="2" fillId="29" fontId="194" numFmtId="0" xfId="0" applyAlignment="1" applyBorder="1" applyFont="1">
      <alignment readingOrder="0"/>
    </xf>
    <xf borderId="2" fillId="32" fontId="92" numFmtId="0" xfId="0" applyBorder="1" applyFont="1"/>
    <xf borderId="2" fillId="32" fontId="200" numFmtId="0" xfId="0" applyBorder="1" applyFont="1"/>
    <xf borderId="2" fillId="32" fontId="200" numFmtId="0" xfId="0" applyAlignment="1" applyBorder="1" applyFont="1">
      <alignment readingOrder="0"/>
    </xf>
    <xf borderId="2" fillId="32" fontId="10" numFmtId="0" xfId="0" applyBorder="1" applyFont="1"/>
    <xf borderId="60" fillId="29" fontId="194" numFmtId="0" xfId="0" applyAlignment="1" applyBorder="1" applyFont="1">
      <alignment horizontal="center"/>
    </xf>
    <xf borderId="123" fillId="29" fontId="10" numFmtId="0" xfId="0" applyAlignment="1" applyBorder="1" applyFont="1">
      <alignment horizontal="center"/>
    </xf>
    <xf borderId="60" fillId="29" fontId="194" numFmtId="0" xfId="0" applyBorder="1" applyFont="1"/>
    <xf borderId="123" fillId="29" fontId="194" numFmtId="0" xfId="0" applyAlignment="1" applyBorder="1" applyFont="1">
      <alignment horizontal="center"/>
    </xf>
    <xf borderId="134" fillId="29" fontId="10" numFmtId="0" xfId="0" applyAlignment="1" applyBorder="1" applyFont="1">
      <alignment horizontal="center"/>
    </xf>
    <xf borderId="0" fillId="0" fontId="201" numFmtId="0" xfId="0" applyAlignment="1" applyFont="1">
      <alignment horizontal="center" vertical="center"/>
    </xf>
    <xf borderId="63" fillId="29" fontId="194" numFmtId="0" xfId="0" applyAlignment="1" applyBorder="1" applyFont="1">
      <alignment horizontal="center"/>
    </xf>
    <xf borderId="122" fillId="29" fontId="10" numFmtId="0" xfId="0" applyAlignment="1" applyBorder="1" applyFont="1">
      <alignment horizontal="center"/>
    </xf>
    <xf borderId="63" fillId="29" fontId="194" numFmtId="0" xfId="0" applyAlignment="1" applyBorder="1" applyFont="1">
      <alignment readingOrder="0"/>
    </xf>
    <xf borderId="63" fillId="29" fontId="194" numFmtId="0" xfId="0" applyBorder="1" applyFont="1"/>
    <xf borderId="122" fillId="29" fontId="194" numFmtId="0" xfId="0" applyAlignment="1" applyBorder="1" applyFont="1">
      <alignment horizontal="center"/>
    </xf>
    <xf borderId="135" fillId="29" fontId="10" numFmtId="0" xfId="0" applyAlignment="1" applyBorder="1" applyFont="1">
      <alignment horizontal="center"/>
    </xf>
    <xf borderId="63" fillId="29" fontId="194" numFmtId="0" xfId="0" applyAlignment="1" applyBorder="1" applyFont="1">
      <alignment horizontal="center" readingOrder="0"/>
    </xf>
    <xf borderId="74" fillId="29" fontId="194" numFmtId="0" xfId="0" applyAlignment="1" applyBorder="1" applyFont="1">
      <alignment horizontal="center"/>
    </xf>
    <xf borderId="201" fillId="29" fontId="10" numFmtId="0" xfId="0" applyAlignment="1" applyBorder="1" applyFont="1">
      <alignment horizontal="center"/>
    </xf>
    <xf borderId="201" fillId="29" fontId="10" numFmtId="0" xfId="0" applyBorder="1" applyFont="1"/>
    <xf borderId="74" fillId="29" fontId="10" numFmtId="0" xfId="0" applyAlignment="1" applyBorder="1" applyFont="1">
      <alignment readingOrder="0"/>
    </xf>
    <xf borderId="201" fillId="29" fontId="194"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4" numFmtId="0" xfId="0" applyFont="1"/>
    <xf borderId="63" fillId="29" fontId="10" numFmtId="0" xfId="0" applyAlignment="1" applyBorder="1" applyFont="1">
      <alignment readingOrder="0"/>
    </xf>
    <xf borderId="74" fillId="29" fontId="194" numFmtId="0" xfId="0" applyBorder="1" applyFont="1"/>
    <xf borderId="136" fillId="29" fontId="10" numFmtId="0" xfId="0" applyAlignment="1" applyBorder="1" applyFont="1">
      <alignment horizontal="center"/>
    </xf>
    <xf borderId="0" fillId="29" fontId="202" numFmtId="0" xfId="0" applyAlignment="1" applyFont="1">
      <alignment readingOrder="0"/>
    </xf>
    <xf borderId="74" fillId="29" fontId="10" numFmtId="0" xfId="0" applyBorder="1" applyFont="1"/>
    <xf borderId="0" fillId="0" fontId="194" numFmtId="0" xfId="0" applyAlignment="1" applyFont="1">
      <alignment horizontal="left" readingOrder="0" shrinkToFit="0" wrapText="1"/>
    </xf>
    <xf borderId="0" fillId="0" fontId="199" numFmtId="0" xfId="0" applyAlignment="1" applyFont="1">
      <alignment horizontal="center"/>
    </xf>
    <xf borderId="0" fillId="0" fontId="203" numFmtId="0" xfId="0" applyAlignment="1" applyFont="1">
      <alignment horizontal="center"/>
    </xf>
    <xf borderId="0" fillId="0" fontId="194" numFmtId="0" xfId="0" applyAlignment="1" applyFont="1">
      <alignment readingOrder="0"/>
    </xf>
    <xf borderId="0" fillId="0" fontId="194" numFmtId="0" xfId="0" applyAlignment="1" applyFont="1">
      <alignment horizontal="center" readingOrder="0" shrinkToFit="0" wrapText="1"/>
    </xf>
    <xf borderId="0" fillId="0" fontId="203"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1" fontId="20" numFmtId="0" xfId="0" applyAlignment="1" applyBorder="1" applyFont="1">
      <alignment horizontal="left"/>
    </xf>
    <xf borderId="279" fillId="0" fontId="34" numFmtId="0" xfId="0" applyBorder="1" applyFont="1"/>
    <xf borderId="280" fillId="0" fontId="34" numFmtId="0" xfId="0" applyBorder="1" applyFont="1"/>
    <xf borderId="2" fillId="11" fontId="10" numFmtId="0" xfId="0" applyBorder="1" applyFont="1"/>
    <xf borderId="50" fillId="3" fontId="204" numFmtId="0" xfId="0" applyAlignment="1" applyBorder="1" applyFont="1">
      <alignment horizontal="center" vertical="center"/>
    </xf>
    <xf borderId="281" fillId="0" fontId="34" numFmtId="0" xfId="0" applyBorder="1" applyFont="1"/>
    <xf borderId="50" fillId="3" fontId="204"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4"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4" numFmtId="0" xfId="0" applyAlignment="1" applyBorder="1" applyFont="1">
      <alignment horizontal="center"/>
    </xf>
    <xf borderId="60" fillId="3" fontId="204" numFmtId="0" xfId="0" applyAlignment="1" applyBorder="1" applyFont="1">
      <alignment horizontal="center"/>
    </xf>
    <xf borderId="79" fillId="3" fontId="204" numFmtId="0" xfId="0" applyAlignment="1" applyBorder="1" applyFont="1">
      <alignment horizontal="center"/>
    </xf>
    <xf borderId="5" fillId="3" fontId="204" numFmtId="0" xfId="0" applyAlignment="1" applyBorder="1" applyFont="1">
      <alignment horizontal="center"/>
    </xf>
    <xf borderId="136" fillId="3" fontId="187" numFmtId="0" xfId="0" applyBorder="1" applyFont="1"/>
    <xf borderId="74" fillId="3" fontId="204" numFmtId="0" xfId="0" applyAlignment="1" applyBorder="1" applyFont="1">
      <alignment horizontal="center"/>
    </xf>
    <xf borderId="84" fillId="3" fontId="204" numFmtId="0" xfId="0" applyAlignment="1" applyBorder="1" applyFont="1">
      <alignment horizontal="center"/>
    </xf>
    <xf borderId="136" fillId="3" fontId="204" numFmtId="0" xfId="0" applyAlignment="1" applyBorder="1" applyFont="1">
      <alignment horizontal="center"/>
    </xf>
    <xf borderId="5" fillId="0" fontId="204" numFmtId="0" xfId="0" applyAlignment="1" applyBorder="1" applyFont="1">
      <alignment horizontal="center" readingOrder="0"/>
    </xf>
    <xf borderId="57" fillId="3" fontId="204" numFmtId="0" xfId="0" applyAlignment="1" applyBorder="1" applyFont="1">
      <alignment horizontal="center"/>
    </xf>
    <xf borderId="136" fillId="3" fontId="187" numFmtId="0" xfId="0" applyAlignment="1" applyBorder="1" applyFont="1">
      <alignment horizontal="center"/>
    </xf>
    <xf borderId="78" fillId="3" fontId="187" numFmtId="0" xfId="0" applyAlignment="1" applyBorder="1" applyFont="1">
      <alignment horizontal="center"/>
    </xf>
    <xf borderId="57" fillId="3" fontId="205" numFmtId="4" xfId="0" applyAlignment="1" applyBorder="1" applyFont="1" applyNumberFormat="1">
      <alignment horizontal="center"/>
    </xf>
    <xf borderId="57" fillId="28" fontId="187" numFmtId="10" xfId="0" applyAlignment="1" applyBorder="1" applyFont="1" applyNumberFormat="1">
      <alignment horizontal="center"/>
    </xf>
    <xf borderId="5" fillId="28" fontId="187" numFmtId="4" xfId="0" applyAlignment="1" applyBorder="1" applyFont="1" applyNumberFormat="1">
      <alignment horizontal="center"/>
    </xf>
    <xf borderId="57" fillId="3" fontId="187" numFmtId="4" xfId="0" applyAlignment="1" applyBorder="1" applyFont="1" applyNumberFormat="1">
      <alignment horizontal="center"/>
    </xf>
    <xf borderId="57" fillId="3" fontId="187" numFmtId="3" xfId="0" applyAlignment="1" applyBorder="1" applyFont="1" applyNumberFormat="1">
      <alignment horizontal="center"/>
    </xf>
    <xf borderId="78" fillId="3" fontId="187" numFmtId="3" xfId="0" applyAlignment="1" applyBorder="1" applyFont="1" applyNumberFormat="1">
      <alignment horizontal="center"/>
    </xf>
    <xf borderId="5" fillId="0" fontId="205" numFmtId="4" xfId="0" applyAlignment="1" applyBorder="1" applyFont="1" applyNumberFormat="1">
      <alignment horizontal="center"/>
    </xf>
    <xf borderId="5" fillId="3" fontId="187" numFmtId="2" xfId="0" applyAlignment="1" applyBorder="1" applyFont="1" applyNumberFormat="1">
      <alignment horizontal="center"/>
    </xf>
    <xf borderId="57" fillId="3" fontId="187" numFmtId="210" xfId="0" applyAlignment="1" applyBorder="1" applyFont="1" applyNumberFormat="1">
      <alignment horizontal="center"/>
    </xf>
    <xf borderId="78" fillId="3" fontId="187" numFmtId="4" xfId="0" applyAlignment="1" applyBorder="1" applyFont="1" applyNumberFormat="1">
      <alignment horizontal="center"/>
    </xf>
    <xf borderId="5" fillId="28" fontId="187"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4" numFmtId="4" xfId="0" applyAlignment="1" applyFont="1" applyNumberFormat="1">
      <alignment horizontal="center"/>
    </xf>
    <xf borderId="5" fillId="0" fontId="204" numFmtId="0" xfId="0" applyAlignment="1" applyBorder="1" applyFont="1">
      <alignment horizontal="center"/>
    </xf>
    <xf borderId="78" fillId="3" fontId="187" numFmtId="0" xfId="0" applyAlignment="1" applyBorder="1" applyFont="1">
      <alignment horizontal="left"/>
    </xf>
    <xf borderId="5" fillId="0" fontId="187" numFmtId="4" xfId="0" applyAlignment="1" applyBorder="1" applyFont="1" applyNumberFormat="1">
      <alignment horizontal="center"/>
    </xf>
    <xf borderId="5" fillId="3" fontId="187" numFmtId="4" xfId="0" applyAlignment="1" applyBorder="1" applyFont="1" applyNumberFormat="1">
      <alignment horizontal="center"/>
    </xf>
    <xf borderId="283" fillId="33" fontId="15" numFmtId="4" xfId="0" applyAlignment="1" applyBorder="1" applyFont="1" applyNumberFormat="1">
      <alignment horizontal="center"/>
    </xf>
    <xf borderId="278" fillId="11" fontId="20" numFmtId="0" xfId="0" applyAlignment="1" applyBorder="1" applyFont="1">
      <alignment horizontal="left" readingOrder="0"/>
    </xf>
    <xf borderId="0" fillId="0" fontId="20" numFmtId="0" xfId="0" applyAlignment="1" applyFont="1">
      <alignment horizontal="left"/>
    </xf>
    <xf borderId="0" fillId="0" fontId="206" numFmtId="0" xfId="0" applyAlignment="1" applyFont="1">
      <alignment horizontal="left"/>
    </xf>
    <xf borderId="132" fillId="34" fontId="15" numFmtId="169" xfId="0" applyAlignment="1" applyBorder="1" applyFill="1" applyFont="1" applyNumberFormat="1">
      <alignment horizontal="center"/>
    </xf>
    <xf borderId="0" fillId="0" fontId="207" numFmtId="0" xfId="0" applyFont="1"/>
    <xf borderId="0" fillId="0" fontId="15" numFmtId="169" xfId="0" applyAlignment="1" applyFont="1" applyNumberFormat="1">
      <alignment horizontal="right"/>
    </xf>
    <xf borderId="0" fillId="0" fontId="206" numFmtId="0" xfId="0" applyFont="1"/>
    <xf borderId="0" fillId="0" fontId="15" numFmtId="169" xfId="0" applyFont="1" applyNumberFormat="1"/>
    <xf borderId="78" fillId="28" fontId="187"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87"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4"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4" numFmtId="4" xfId="0" applyAlignment="1" applyBorder="1" applyFont="1" applyNumberFormat="1">
      <alignment horizontal="center"/>
    </xf>
    <xf borderId="0" fillId="0" fontId="187"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8" numFmtId="0" xfId="0" applyAlignment="1" applyBorder="1" applyFont="1">
      <alignment shrinkToFit="0" wrapText="1"/>
    </xf>
    <xf borderId="287" fillId="35" fontId="209" numFmtId="0" xfId="0" applyAlignment="1" applyBorder="1" applyFont="1">
      <alignment horizontal="center" shrinkToFit="0" vertical="center" wrapText="1"/>
    </xf>
    <xf borderId="287" fillId="35" fontId="210" numFmtId="0" xfId="0" applyAlignment="1" applyBorder="1" applyFont="1">
      <alignment horizontal="center" shrinkToFit="0" vertical="center" wrapText="1"/>
    </xf>
    <xf borderId="288" fillId="35" fontId="209"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0" numFmtId="196" xfId="0" applyBorder="1" applyFont="1" applyNumberFormat="1"/>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11"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1"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78480720"/>
        <c:axId val="1988862859"/>
      </c:lineChart>
      <c:catAx>
        <c:axId val="1784807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8862859"/>
      </c:catAx>
      <c:valAx>
        <c:axId val="1988862859"/>
        <c:scaling>
          <c:orientation val="minMax"/>
        </c:scaling>
        <c:delete val="0"/>
        <c:axPos val="l"/>
        <c:tickLblPos val="nextTo"/>
        <c:spPr>
          <a:ln>
            <a:noFill/>
          </a:ln>
        </c:spPr>
        <c:crossAx val="178480720"/>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238749970"/>
        <c:axId val="263423511"/>
      </c:lineChart>
      <c:catAx>
        <c:axId val="1238749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3423511"/>
      </c:catAx>
      <c:valAx>
        <c:axId val="263423511"/>
        <c:scaling>
          <c:orientation val="minMax"/>
        </c:scaling>
        <c:delete val="0"/>
        <c:axPos val="l"/>
        <c:tickLblPos val="nextTo"/>
        <c:spPr>
          <a:ln>
            <a:noFill/>
          </a:ln>
        </c:spPr>
        <c:crossAx val="1238749970"/>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1371751410"/>
        <c:axId val="1527855935"/>
      </c:lineChart>
      <c:catAx>
        <c:axId val="1371751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27855935"/>
      </c:catAx>
      <c:valAx>
        <c:axId val="1527855935"/>
        <c:scaling>
          <c:orientation val="minMax"/>
          <c:max val="7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1751410"/>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459786767"/>
        <c:axId val="2121344735"/>
      </c:lineChart>
      <c:catAx>
        <c:axId val="459786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21344735"/>
      </c:catAx>
      <c:valAx>
        <c:axId val="2121344735"/>
        <c:scaling>
          <c:orientation val="minMax"/>
          <c:max val="7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9786767"/>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jpg"/><Relationship Id="rId3" Type="http://schemas.openxmlformats.org/officeDocument/2006/relationships/image" Target="../media/image1.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4.png"/><Relationship Id="rId8"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2.jpg"/><Relationship Id="rId3" Type="http://schemas.openxmlformats.org/officeDocument/2006/relationships/image" Target="../media/image1.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4.png"/><Relationship Id="rId8"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1.png"/><Relationship Id="rId4" Type="http://schemas.openxmlformats.org/officeDocument/2006/relationships/image" Target="../media/image2.jpg"/><Relationship Id="rId9" Type="http://schemas.openxmlformats.org/officeDocument/2006/relationships/image" Target="../media/image3.png"/><Relationship Id="rId5" Type="http://schemas.openxmlformats.org/officeDocument/2006/relationships/image" Target="../media/image1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2.jpg"/><Relationship Id="rId4" Type="http://schemas.openxmlformats.org/officeDocument/2006/relationships/image" Target="../media/image1.png"/><Relationship Id="rId9" Type="http://schemas.openxmlformats.org/officeDocument/2006/relationships/image" Target="../media/image3.png"/><Relationship Id="rId5" Type="http://schemas.openxmlformats.org/officeDocument/2006/relationships/image" Target="../media/image1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2.jpg"/><Relationship Id="rId3" Type="http://schemas.openxmlformats.org/officeDocument/2006/relationships/image" Target="../media/image1.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4.png"/><Relationship Id="rId8"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2.jpg"/><Relationship Id="rId10" Type="http://schemas.openxmlformats.org/officeDocument/2006/relationships/image" Target="../media/image3.png"/><Relationship Id="rId9" Type="http://schemas.openxmlformats.org/officeDocument/2006/relationships/image" Target="../media/image4.png"/><Relationship Id="rId5" Type="http://schemas.openxmlformats.org/officeDocument/2006/relationships/image" Target="../media/image1.png"/><Relationship Id="rId6" Type="http://schemas.openxmlformats.org/officeDocument/2006/relationships/image" Target="../media/image12.png"/><Relationship Id="rId7" Type="http://schemas.openxmlformats.org/officeDocument/2006/relationships/image" Target="../media/image5.png"/><Relationship Id="rId8"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2.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6.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581025</xdr:colOff>
      <xdr:row>63</xdr:row>
      <xdr:rowOff>180975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325</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PJO6PYpr2tqWOoaU86vNRJUkNLoOwPBX" TargetMode="External"/><Relationship Id="rId20" Type="http://schemas.openxmlformats.org/officeDocument/2006/relationships/hyperlink" Target="https://drive.google.com/uc?export=download&amp;id=1Jry7NLsYl5OzJ_2uhRhdpLNckGrBjjeq" TargetMode="External"/><Relationship Id="rId42" Type="http://schemas.openxmlformats.org/officeDocument/2006/relationships/hyperlink" Target="https://drive.google.com/uc?export=download&amp;id=13nd0w41CZpT4qpTbInVaF-5ydZmdQrQM" TargetMode="External"/><Relationship Id="rId41" Type="http://schemas.openxmlformats.org/officeDocument/2006/relationships/hyperlink" Target="https://drive.google.com/uc?export=download&amp;id=" TargetMode="External"/><Relationship Id="rId22" Type="http://schemas.openxmlformats.org/officeDocument/2006/relationships/hyperlink" Target="https://drive.google.com/uc?export=download&amp;id=1VBqnJWPA6cKSsxaS8TywQ-nRxJrWW4RO" TargetMode="External"/><Relationship Id="rId44" Type="http://schemas.openxmlformats.org/officeDocument/2006/relationships/vmlDrawing" Target="../drawings/vmlDrawing1.vml"/><Relationship Id="rId21" Type="http://schemas.openxmlformats.org/officeDocument/2006/relationships/hyperlink" Target="https://drive.google.com/uc?export=download&amp;id=" TargetMode="External"/><Relationship Id="rId43" Type="http://schemas.openxmlformats.org/officeDocument/2006/relationships/drawing" Target="../drawings/drawing1.xml"/><Relationship Id="rId24" Type="http://schemas.openxmlformats.org/officeDocument/2006/relationships/hyperlink" Target="https://drive.google.com/uc?export=download&amp;id=1706_ks01TI4s7uCDGnSTFNha80pyfeHo" TargetMode="External"/><Relationship Id="rId23"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0Xv2lp7_p27VDrtWaA6ZguMhaq65APMW" TargetMode="External"/><Relationship Id="rId9"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HDGcYiNVXfchE1ro_AZYfBomR95IOoWA"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FjxuSzi4nMaCIMp7Z4cATdZBai-19bVM" TargetMode="External"/><Relationship Id="rId27"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8Ncfra8WvnT1pAQVfZL0qdWOaxqr3NEN" TargetMode="External"/><Relationship Id="rId29" Type="http://schemas.openxmlformats.org/officeDocument/2006/relationships/hyperlink" Target="https://drive.google.com/uc?export=download&amp;id="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yQIm9vwB0ttAv5TzuPLErZ2lxJ0EmEsM"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XdKSysM7tLxuP8cZMmJYx9hmq1221mp" TargetMode="External"/><Relationship Id="rId11" Type="http://schemas.openxmlformats.org/officeDocument/2006/relationships/hyperlink" Target="https://drive.google.com/uc?export=download&amp;id=" TargetMode="External"/><Relationship Id="rId33"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g3-ALO6-_lRCAA68D2pb0vcRQkIiu3x6" TargetMode="External"/><Relationship Id="rId32" Type="http://schemas.openxmlformats.org/officeDocument/2006/relationships/hyperlink" Target="https://drive.google.com/uc?export=download&amp;id=1uJI6cmHiXKh3OGQ_ag8aKwfjrdK7SYpS" TargetMode="External"/><Relationship Id="rId13" Type="http://schemas.openxmlformats.org/officeDocument/2006/relationships/hyperlink" Target="https://drive.google.com/uc?export=download&amp;id=" TargetMode="External"/><Relationship Id="rId35"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35Fkj9z2TAiLqjt-NHW8slfpiGZoRHWw" TargetMode="External"/><Relationship Id="rId34" Type="http://schemas.openxmlformats.org/officeDocument/2006/relationships/hyperlink" Target="https://drive.google.com/uc?export=download&amp;id=1zPSkXzw9hjQez6t3z_d1FkXifkor7anO" TargetMode="External"/><Relationship Id="rId15" Type="http://schemas.openxmlformats.org/officeDocument/2006/relationships/hyperlink" Target="https://drive.google.com/uc?export=download&amp;id=" TargetMode="External"/><Relationship Id="rId37"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LSXqfxmYaSy4W8tmyN2ZIYpDY4HVW3Bc" TargetMode="External"/><Relationship Id="rId36" Type="http://schemas.openxmlformats.org/officeDocument/2006/relationships/hyperlink" Target="https://drive.google.com/uc?export=download&amp;id=1CE19QSjvtGL1TGtJ8lTJcL0qfMOj5NS0" TargetMode="External"/><Relationship Id="rId17" Type="http://schemas.openxmlformats.org/officeDocument/2006/relationships/hyperlink" Target="https://drive.google.com/uc?export=download&amp;id=" TargetMode="External"/><Relationship Id="rId39"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ootI2reS3zOEWwIDIPj52NqKyaiTqx-q" TargetMode="External"/><Relationship Id="rId38" Type="http://schemas.openxmlformats.org/officeDocument/2006/relationships/hyperlink" Target="https://drive.google.com/uc?export=download&amp;id=1M2phWCZNVXQVyPqb2-HpfZ5Fmoc8IfAE"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CxxSnrpMvDrmMtRuHFHboBjLdqGTGW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69dxbd3"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casasyterrenos.com/propiedad/terreno-venta-eutimio-pinzon-rancho-nuevo-1ra-seccion-guadalajara-jal-3779336" TargetMode="External"/><Relationship Id="rId3" Type="http://schemas.openxmlformats.org/officeDocument/2006/relationships/hyperlink" Target="https://www.inmuebles24.com/propiedades/clasificado/vecltein-venta-de-terreno-en-colonia-independencia-147013498.html?n_src=Listado&amp;n_exp=trigger_pills-original&amp;n_pg=1&amp;n_pos=1" TargetMode="External"/><Relationship Id="rId4" Type="http://schemas.openxmlformats.org/officeDocument/2006/relationships/hyperlink" Target="https://www.inmuebles24.com/propiedades/clasificado/veclcain-casa-en-venta.-fraccionamiento-estadio-poniente-147959813.html?n_src=Listado&amp;n_exp=trigger_pills-original&amp;n_pg=1&amp;n_pos=1" TargetMode="External"/><Relationship Id="rId9" Type="http://schemas.openxmlformats.org/officeDocument/2006/relationships/hyperlink" Target="https://www.inmuebles24.com/propiedades/clasificado/veclcain-casa-en-belisario-dominguez-gdl-148141350.html?n_src=Listado&amp;n_exp=trigger_pills-original&amp;n_pg=1&amp;n_pos=1" TargetMode="External"/><Relationship Id="rId5" Type="http://schemas.openxmlformats.org/officeDocument/2006/relationships/hyperlink" Target="https://www.inmuebles24.com/propiedades/clasificado/veclcain-casa-en-venta-calle-platon-col.-independencia-146764086.html?n_src=Listado&amp;n_exp=trigger_pills-original&amp;n_pg=1&amp;n_pos=1" TargetMode="External"/><Relationship Id="rId6" Type="http://schemas.openxmlformats.org/officeDocument/2006/relationships/hyperlink" Target="https://www.inmuebles24.com/propiedades/clasificado/veclcapa-espectacular-casa-col-monumental-147753528.html?n_src=Listado&amp;n_exp=trigger_pills-original&amp;n_pg=1&amp;n_pos=1" TargetMode="External"/><Relationship Id="rId7" Type="http://schemas.openxmlformats.org/officeDocument/2006/relationships/hyperlink" Target="https://www.inmuebles24.com/propiedades/clasificado/veclcain-casa-en-venta-en-alcalde-barranquitas-143208861.html?n_src=Listado&amp;n_exp=trigger_pills-original&amp;n_pg=1&amp;n_pos=1" TargetMode="External"/><Relationship Id="rId8" Type="http://schemas.openxmlformats.org/officeDocument/2006/relationships/hyperlink" Target="https://www.inmuebles24.com/propiedades/clasificado/veclcain-casa-en-venta-de-un-nivel-en-la-colonia-independencia-147097244.html?n_src=Listado&amp;n_exp=trigger_pills-original&amp;n_pg=1&amp;n_pos=1" TargetMode="External"/><Relationship Id="rId11" Type="http://schemas.openxmlformats.org/officeDocument/2006/relationships/drawing" Target="../drawings/drawing12.xml"/><Relationship Id="rId10" Type="http://schemas.openxmlformats.org/officeDocument/2006/relationships/hyperlink" Target="https://www.inmuebles24.com/propiedades/clasificado/veclcain-casa-con-departamento-independiente-cerca-del-148214120.html?n_src=Listado&amp;n_exp=trigger_pills-original&amp;n_pg=1&amp;n_pos=1" TargetMode="External"/><Relationship Id="rId12"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9.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https://drive.google.com/uc?export=download&amp;id=1uCi2KXuJ7zjI3RAMnn9V5LcBtN9V-fhU</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A15" s="6" t="s">
        <v>44</v>
      </c>
      <c r="B15" s="7" t="s">
        <v>6</v>
      </c>
      <c r="C15" s="6" t="s">
        <v>45</v>
      </c>
      <c r="D15" s="8" t="s">
        <v>46</v>
      </c>
      <c r="E15" s="10"/>
    </row>
    <row r="16">
      <c r="A16" s="6" t="s">
        <v>47</v>
      </c>
      <c r="B16" s="7" t="s">
        <v>6</v>
      </c>
      <c r="C16" s="6" t="s">
        <v>48</v>
      </c>
      <c r="D16" s="8" t="s">
        <v>49</v>
      </c>
      <c r="E16" s="10"/>
    </row>
    <row r="17">
      <c r="A17" s="6" t="s">
        <v>50</v>
      </c>
      <c r="B17" s="7" t="s">
        <v>6</v>
      </c>
      <c r="C17" s="6" t="s">
        <v>51</v>
      </c>
      <c r="D17" s="8" t="s">
        <v>52</v>
      </c>
      <c r="E17" s="10"/>
    </row>
    <row r="18">
      <c r="A18" s="6" t="s">
        <v>53</v>
      </c>
      <c r="B18" s="7" t="s">
        <v>6</v>
      </c>
      <c r="C18" s="6" t="s">
        <v>54</v>
      </c>
      <c r="D18" s="8" t="s">
        <v>55</v>
      </c>
      <c r="E18" s="10"/>
    </row>
    <row r="19">
      <c r="A19" s="6" t="s">
        <v>56</v>
      </c>
      <c r="B19" s="7" t="s">
        <v>6</v>
      </c>
      <c r="C19" s="6" t="s">
        <v>57</v>
      </c>
      <c r="D19" s="8" t="s">
        <v>58</v>
      </c>
      <c r="E19" s="10"/>
    </row>
    <row r="20">
      <c r="A20" s="6" t="s">
        <v>59</v>
      </c>
      <c r="B20" s="7" t="s">
        <v>6</v>
      </c>
      <c r="C20" s="6" t="s">
        <v>60</v>
      </c>
      <c r="D20" s="8" t="s">
        <v>61</v>
      </c>
      <c r="E20" s="10"/>
    </row>
    <row r="21">
      <c r="A21" s="6" t="s">
        <v>62</v>
      </c>
      <c r="B21" s="7" t="s">
        <v>6</v>
      </c>
      <c r="C21" s="6" t="s">
        <v>63</v>
      </c>
      <c r="D21" s="8" t="s">
        <v>64</v>
      </c>
      <c r="E21" s="10"/>
    </row>
    <row r="22">
      <c r="A22" s="6" t="s">
        <v>65</v>
      </c>
      <c r="B22" s="7" t="s">
        <v>6</v>
      </c>
      <c r="C22" s="6" t="s">
        <v>66</v>
      </c>
      <c r="D22" s="8" t="s">
        <v>67</v>
      </c>
      <c r="E22" s="10"/>
    </row>
    <row r="23">
      <c r="D23" s="10"/>
      <c r="E23" s="10"/>
    </row>
    <row r="24">
      <c r="D24" s="10"/>
      <c r="E24" s="10"/>
    </row>
    <row r="25">
      <c r="D25" s="10"/>
      <c r="E25" s="10"/>
    </row>
    <row r="26">
      <c r="D26" s="10"/>
      <c r="E26" s="10"/>
    </row>
    <row r="27">
      <c r="D27" s="10"/>
      <c r="E27" s="10"/>
    </row>
    <row r="28">
      <c r="D28" s="10"/>
      <c r="E28" s="10"/>
    </row>
    <row r="29">
      <c r="D29" s="10"/>
      <c r="E29" s="10"/>
    </row>
    <row r="30">
      <c r="D30" s="10"/>
      <c r="E30" s="10"/>
    </row>
    <row r="31">
      <c r="D31" s="10"/>
      <c r="E31" s="10"/>
    </row>
    <row r="32">
      <c r="D32" s="10"/>
      <c r="E32" s="10"/>
    </row>
    <row r="33">
      <c r="D33" s="10"/>
      <c r="E33" s="10"/>
    </row>
    <row r="34">
      <c r="D34" s="10"/>
      <c r="E34" s="10"/>
    </row>
    <row r="35">
      <c r="D35" s="10"/>
      <c r="E35" s="10"/>
    </row>
    <row r="36">
      <c r="D36" s="10"/>
      <c r="E36" s="10"/>
    </row>
    <row r="37">
      <c r="D37" s="10"/>
      <c r="E37" s="10"/>
    </row>
    <row r="38">
      <c r="D38" s="10"/>
      <c r="E38" s="10"/>
    </row>
    <row r="39">
      <c r="D39" s="10"/>
      <c r="E39" s="10"/>
    </row>
    <row r="40">
      <c r="D40" s="10"/>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s>
  <drawing r:id="rId43"/>
  <legacy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68</v>
      </c>
      <c r="B1" s="12" t="s">
        <v>69</v>
      </c>
      <c r="C1" s="12" t="s">
        <v>70</v>
      </c>
      <c r="D1" s="11" t="s">
        <v>71</v>
      </c>
      <c r="E1" s="13" t="s">
        <v>72</v>
      </c>
      <c r="F1" s="13" t="s">
        <v>73</v>
      </c>
      <c r="G1" s="11" t="s">
        <v>74</v>
      </c>
      <c r="H1" s="11" t="s">
        <v>75</v>
      </c>
      <c r="I1" s="11" t="s">
        <v>76</v>
      </c>
      <c r="J1" s="11" t="s">
        <v>77</v>
      </c>
      <c r="K1" s="11" t="s">
        <v>78</v>
      </c>
      <c r="L1" s="11" t="s">
        <v>79</v>
      </c>
      <c r="M1" s="11" t="s">
        <v>80</v>
      </c>
      <c r="N1" s="11" t="s">
        <v>81</v>
      </c>
      <c r="O1" s="11" t="s">
        <v>82</v>
      </c>
      <c r="P1" s="11" t="s">
        <v>83</v>
      </c>
      <c r="Q1" s="11" t="s">
        <v>84</v>
      </c>
      <c r="R1" s="11" t="s">
        <v>85</v>
      </c>
      <c r="S1" s="11" t="s">
        <v>86</v>
      </c>
      <c r="T1" s="11" t="s">
        <v>87</v>
      </c>
      <c r="U1" s="11" t="s">
        <v>88</v>
      </c>
      <c r="V1" s="11" t="s">
        <v>89</v>
      </c>
      <c r="W1" s="11" t="s">
        <v>90</v>
      </c>
      <c r="X1" s="11" t="s">
        <v>91</v>
      </c>
      <c r="Y1" s="11" t="s">
        <v>92</v>
      </c>
      <c r="Z1" s="11" t="s">
        <v>93</v>
      </c>
      <c r="AA1" s="14" t="s">
        <v>94</v>
      </c>
      <c r="AB1" s="15"/>
      <c r="AC1" s="15"/>
      <c r="AD1" s="15"/>
      <c r="AE1" s="15"/>
      <c r="AF1" s="15"/>
      <c r="AG1" s="15"/>
      <c r="AH1" s="15"/>
      <c r="AI1" s="15"/>
      <c r="AJ1" s="15"/>
      <c r="AK1" s="15"/>
      <c r="AL1" s="15"/>
    </row>
    <row r="2">
      <c r="A2" s="10" t="str">
        <f>Query_Formato!B4</f>
        <v>450814fd</v>
      </c>
      <c r="B2" s="16">
        <f>'OPI Constr'!AG6</f>
        <v>46202</v>
      </c>
      <c r="C2" s="10" t="str">
        <f>Query_Formato!B6</f>
        <v>2c214683</v>
      </c>
      <c r="F2" s="17" t="str">
        <f>'OPI Constr'!E8</f>
        <v>Casa Habitación</v>
      </c>
      <c r="G2" s="10" t="str">
        <f>'OPI Constr'!AB72</f>
        <v>Guadalajara</v>
      </c>
      <c r="H2" s="10" t="str">
        <f>'OPI Constr'!AG74</f>
        <v>San Elías</v>
      </c>
      <c r="I2" s="10" t="str">
        <f>'OPI Constr'!E10</f>
        <v>Pascal 2164, San Elías, 44246 Guadalajara, Jal.</v>
      </c>
      <c r="L2" s="10" t="str">
        <f>Query_Formato!B10</f>
        <v/>
      </c>
      <c r="M2" s="18">
        <f>'OPI Constr'!I86</f>
        <v>49</v>
      </c>
      <c r="N2" s="18">
        <f>'OPI Constr'!A86</f>
        <v>21</v>
      </c>
      <c r="O2" s="19">
        <f>'OPI Constr'!C111</f>
        <v>91.97</v>
      </c>
      <c r="P2" s="19">
        <f>'OPI Constr'!K123</f>
        <v>74.2</v>
      </c>
      <c r="Q2" s="19">
        <f>'OPI Constr'!K135</f>
        <v>0</v>
      </c>
      <c r="R2" s="20">
        <f>'OPI Constr'!AC111</f>
        <v>10500</v>
      </c>
      <c r="S2" s="21">
        <f>'OPI Constr'!AL209</f>
        <v>32793.32836</v>
      </c>
      <c r="T2" s="20">
        <f>'OPI Constr'!AJ111</f>
        <v>965685</v>
      </c>
      <c r="U2" s="20">
        <f>'OPI Constr'!AJ123+'OPI Constr'!AJ135</f>
        <v>835989.012</v>
      </c>
      <c r="V2" s="20">
        <f>'OPI Constr'!AJ157</f>
        <v>8472.6096</v>
      </c>
      <c r="W2" s="20">
        <f>'OPI Constr'!AJ159</f>
        <v>1810146.622</v>
      </c>
      <c r="X2" s="22">
        <f>'OPI Constr'!AJ161</f>
        <v>2433264.964</v>
      </c>
      <c r="Y2" s="23">
        <f>'OPI Constr'!AP161</f>
        <v>0.2560832264</v>
      </c>
      <c r="AA2" s="24">
        <f>'OPI Constr'!AI166</f>
        <v>9732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95</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96</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97</v>
      </c>
      <c r="AD4" s="26"/>
      <c r="AE4" s="29"/>
      <c r="AF4" s="43" t="s">
        <v>98</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99</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100</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101</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102</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103</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104</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104</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Intermedia</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Intermedia</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105</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106</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107</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102</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101</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108</v>
      </c>
      <c r="F85" s="107"/>
      <c r="G85" s="107"/>
      <c r="H85" s="92"/>
      <c r="I85" s="34"/>
      <c r="J85" s="34"/>
      <c r="K85" s="108"/>
      <c r="L85" s="95"/>
      <c r="M85" s="95"/>
      <c r="N85" s="95"/>
      <c r="O85" s="95"/>
      <c r="P85" s="96"/>
      <c r="Q85" s="34"/>
      <c r="R85" s="101"/>
      <c r="S85" s="109" t="s">
        <v>109</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110</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103</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111</v>
      </c>
      <c r="I90" s="97"/>
      <c r="J90" s="97"/>
      <c r="K90" s="117"/>
      <c r="L90" s="95"/>
      <c r="M90" s="95"/>
      <c r="N90" s="95"/>
      <c r="O90" s="95"/>
      <c r="P90" s="95"/>
      <c r="Q90" s="95"/>
      <c r="R90" s="95"/>
      <c r="S90" s="95"/>
      <c r="T90" s="96"/>
      <c r="U90" s="106"/>
      <c r="V90" s="106"/>
      <c r="W90" s="97"/>
      <c r="X90" s="118" t="s">
        <v>112</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113</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114</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115</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116</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117</v>
      </c>
      <c r="W99" s="34"/>
      <c r="X99" s="149" t="s">
        <v>118</v>
      </c>
      <c r="Y99" s="148"/>
      <c r="Z99" s="150" t="s">
        <v>119</v>
      </c>
      <c r="AB99" s="151"/>
      <c r="AC99" s="152" t="s">
        <v>120</v>
      </c>
      <c r="AE99" s="148"/>
      <c r="AF99" s="153" t="s">
        <v>121</v>
      </c>
      <c r="AG99" s="148"/>
      <c r="AH99" s="154" t="s">
        <v>122</v>
      </c>
      <c r="AI99" s="155"/>
      <c r="AJ99" s="148"/>
      <c r="AK99" s="156" t="s">
        <v>123</v>
      </c>
      <c r="AL99" s="34"/>
      <c r="AM99" s="34"/>
      <c r="AN99" s="153" t="s">
        <v>124</v>
      </c>
      <c r="AP99" s="31"/>
      <c r="AQ99" s="31"/>
      <c r="AR99" s="157" t="s">
        <v>125</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126</v>
      </c>
      <c r="B100" s="147"/>
      <c r="C100" s="147"/>
      <c r="D100" s="147"/>
      <c r="E100" s="147"/>
      <c r="F100" s="159" t="s">
        <v>127</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128</v>
      </c>
      <c r="AO100" s="142"/>
      <c r="AP100" s="31"/>
      <c r="AQ100" s="31"/>
      <c r="AR100" s="173" t="s">
        <v>129</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130</v>
      </c>
      <c r="B102" s="122"/>
      <c r="C102" s="122"/>
      <c r="D102" s="122"/>
      <c r="E102" s="176"/>
      <c r="F102" s="177" t="s">
        <v>131</v>
      </c>
      <c r="G102" s="34"/>
      <c r="H102" s="34"/>
      <c r="I102" s="122" t="s">
        <v>132</v>
      </c>
      <c r="J102" s="122"/>
      <c r="K102" s="122"/>
      <c r="L102" s="34"/>
      <c r="M102" s="122" t="s">
        <v>133</v>
      </c>
      <c r="N102" s="122"/>
      <c r="O102" s="122"/>
      <c r="P102" s="122"/>
      <c r="Q102" s="34"/>
      <c r="R102" s="122" t="s">
        <v>134</v>
      </c>
      <c r="S102" s="122"/>
      <c r="T102" s="34"/>
      <c r="U102" s="122"/>
      <c r="V102" s="122" t="s">
        <v>135</v>
      </c>
      <c r="W102" s="34"/>
      <c r="X102" s="178"/>
      <c r="Y102" s="178"/>
      <c r="Z102" s="178"/>
      <c r="AA102" s="178" t="s">
        <v>136</v>
      </c>
      <c r="AB102" s="34"/>
      <c r="AC102" s="178"/>
      <c r="AD102" s="178"/>
      <c r="AE102" s="178"/>
      <c r="AF102" s="178"/>
      <c r="AG102" s="178"/>
      <c r="AH102" s="122" t="s">
        <v>137</v>
      </c>
      <c r="AI102" s="34"/>
      <c r="AJ102" s="178"/>
      <c r="AK102" s="178"/>
      <c r="AL102" s="179" t="s">
        <v>138</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139</v>
      </c>
      <c r="B105" s="198"/>
      <c r="C105" s="34"/>
      <c r="D105" s="197"/>
      <c r="E105" s="101"/>
      <c r="F105" s="101"/>
      <c r="G105" s="101"/>
      <c r="H105" s="34"/>
      <c r="I105" s="199"/>
      <c r="U105" s="200"/>
      <c r="V105" s="201" t="str">
        <f>VLOOKUP("3.jp*g",Fotos!$A$2:$E506,5,FALSE)</f>
        <v/>
      </c>
      <c r="AO105" s="202"/>
      <c r="AP105" s="31"/>
      <c r="AQ105" s="31"/>
      <c r="AR105" s="203"/>
      <c r="AS105" s="204" t="s">
        <v>140</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141</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142</v>
      </c>
      <c r="D107" s="213"/>
      <c r="E107" s="214"/>
      <c r="G107" s="213"/>
      <c r="H107" s="215"/>
      <c r="U107" s="216"/>
      <c r="AO107" s="202"/>
      <c r="AP107" s="31"/>
      <c r="AQ107" s="31"/>
      <c r="AR107" s="208"/>
      <c r="AS107" s="209" t="s">
        <v>143</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144</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145</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146</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147</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148</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149</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150</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151</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152</v>
      </c>
      <c r="D121" s="243"/>
      <c r="E121" s="244"/>
      <c r="F121" s="245"/>
      <c r="G121" s="245"/>
      <c r="H121" s="245"/>
      <c r="I121" s="245"/>
      <c r="J121" s="245"/>
      <c r="K121" s="245"/>
      <c r="L121" s="245"/>
      <c r="M121" s="245"/>
      <c r="N121" s="244"/>
      <c r="O121" s="244"/>
      <c r="P121" s="246" t="s">
        <v>153</v>
      </c>
      <c r="Q121" s="245" t="s">
        <v>154</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155</v>
      </c>
      <c r="B122" s="253"/>
      <c r="C122" s="254" t="s">
        <v>156</v>
      </c>
      <c r="D122" s="255"/>
      <c r="E122" s="255"/>
      <c r="F122" s="253"/>
      <c r="G122" s="256" t="s">
        <v>157</v>
      </c>
      <c r="H122" s="255"/>
      <c r="I122" s="255"/>
      <c r="J122" s="253"/>
      <c r="K122" s="257" t="s">
        <v>158</v>
      </c>
      <c r="L122" s="85"/>
      <c r="M122" s="85"/>
      <c r="N122" s="85"/>
      <c r="O122" s="85"/>
      <c r="P122" s="85"/>
      <c r="Q122" s="85"/>
      <c r="R122" s="85"/>
      <c r="S122" s="85"/>
      <c r="T122" s="85"/>
      <c r="U122" s="85"/>
      <c r="V122" s="85"/>
      <c r="W122" s="85"/>
      <c r="X122" s="85"/>
      <c r="Y122" s="85"/>
      <c r="Z122" s="85"/>
      <c r="AA122" s="85"/>
      <c r="AB122" s="86"/>
      <c r="AC122" s="258" t="s">
        <v>159</v>
      </c>
      <c r="AD122" s="255"/>
      <c r="AE122" s="255"/>
      <c r="AF122" s="253"/>
      <c r="AG122" s="258" t="s">
        <v>160</v>
      </c>
      <c r="AH122" s="255"/>
      <c r="AI122" s="253"/>
      <c r="AJ122" s="258" t="s">
        <v>161</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162</v>
      </c>
      <c r="L123" s="86"/>
      <c r="M123" s="257" t="s">
        <v>163</v>
      </c>
      <c r="N123" s="85"/>
      <c r="O123" s="86"/>
      <c r="P123" s="262" t="s">
        <v>164</v>
      </c>
      <c r="Q123" s="263"/>
      <c r="R123" s="264" t="s">
        <v>165</v>
      </c>
      <c r="S123" s="263"/>
      <c r="T123" s="262" t="s">
        <v>166</v>
      </c>
      <c r="W123" s="263"/>
      <c r="X123" s="262" t="s">
        <v>167</v>
      </c>
      <c r="Y123" s="263"/>
      <c r="Z123" s="257" t="s">
        <v>168</v>
      </c>
      <c r="AA123" s="85"/>
      <c r="AB123" s="86"/>
      <c r="AC123" s="265" t="s">
        <v>169</v>
      </c>
      <c r="AD123" s="251"/>
      <c r="AE123" s="251"/>
      <c r="AF123" s="261"/>
      <c r="AG123" s="265"/>
      <c r="AH123" s="251"/>
      <c r="AI123" s="261"/>
      <c r="AJ123" s="265" t="s">
        <v>169</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170</v>
      </c>
      <c r="B127" s="261"/>
      <c r="C127" s="291">
        <f>SUM(C124:F126)</f>
        <v>0</v>
      </c>
      <c r="D127" s="85"/>
      <c r="E127" s="85"/>
      <c r="F127" s="86"/>
      <c r="G127" s="292" t="s">
        <v>171</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172</v>
      </c>
      <c r="AI127" s="298"/>
      <c r="AJ127" s="299">
        <f>SUM(AJ124:AO126)</f>
        <v>0</v>
      </c>
      <c r="AK127" s="85"/>
      <c r="AL127" s="85"/>
      <c r="AM127" s="85"/>
      <c r="AN127" s="85"/>
      <c r="AO127" s="86"/>
      <c r="AP127" s="259"/>
      <c r="AQ127" s="31"/>
      <c r="AR127" s="300" t="s">
        <v>173</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174</v>
      </c>
      <c r="D129" s="308"/>
      <c r="E129" s="309"/>
      <c r="F129" s="309"/>
      <c r="G129" s="309"/>
      <c r="H129" s="309"/>
      <c r="I129" s="310"/>
      <c r="J129" s="310"/>
      <c r="K129" s="309"/>
      <c r="L129" s="309"/>
      <c r="M129" s="309"/>
      <c r="N129" s="311" t="s">
        <v>175</v>
      </c>
      <c r="O129" s="255"/>
      <c r="P129" s="253"/>
      <c r="Q129" s="312" t="s">
        <v>176</v>
      </c>
      <c r="R129" s="85"/>
      <c r="S129" s="85"/>
      <c r="T129" s="85"/>
      <c r="U129" s="85"/>
      <c r="V129" s="85"/>
      <c r="W129" s="85"/>
      <c r="X129" s="85"/>
      <c r="Y129" s="85"/>
      <c r="Z129" s="85"/>
      <c r="AA129" s="85"/>
      <c r="AB129" s="86"/>
      <c r="AC129" s="254" t="s">
        <v>177</v>
      </c>
      <c r="AD129" s="255"/>
      <c r="AE129" s="255"/>
      <c r="AF129" s="253"/>
      <c r="AG129" s="254" t="s">
        <v>160</v>
      </c>
      <c r="AH129" s="255"/>
      <c r="AI129" s="253"/>
      <c r="AJ129" s="254" t="s">
        <v>161</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178</v>
      </c>
      <c r="B130" s="253"/>
      <c r="C130" s="312" t="s">
        <v>179</v>
      </c>
      <c r="D130" s="85"/>
      <c r="E130" s="85"/>
      <c r="F130" s="85"/>
      <c r="G130" s="85"/>
      <c r="H130" s="85"/>
      <c r="I130" s="85"/>
      <c r="J130" s="86"/>
      <c r="K130" s="320" t="s">
        <v>156</v>
      </c>
      <c r="L130" s="255"/>
      <c r="M130" s="253"/>
      <c r="N130" s="260"/>
      <c r="O130" s="251"/>
      <c r="P130" s="261"/>
      <c r="Q130" s="199" t="s">
        <v>180</v>
      </c>
      <c r="S130" s="263"/>
      <c r="T130" s="321" t="s">
        <v>181</v>
      </c>
      <c r="U130" s="251"/>
      <c r="V130" s="251"/>
      <c r="W130" s="261"/>
      <c r="X130" s="322" t="s">
        <v>182</v>
      </c>
      <c r="Y130" s="263"/>
      <c r="Z130" s="323" t="s">
        <v>129</v>
      </c>
      <c r="AA130" s="251"/>
      <c r="AB130" s="261"/>
      <c r="AC130" s="262" t="s">
        <v>183</v>
      </c>
      <c r="AF130" s="263"/>
      <c r="AG130" s="265"/>
      <c r="AH130" s="251"/>
      <c r="AI130" s="261"/>
      <c r="AJ130" s="262" t="s">
        <v>169</v>
      </c>
      <c r="AO130" s="263"/>
      <c r="AP130" s="259"/>
      <c r="AQ130" s="31"/>
      <c r="AR130" s="324">
        <f>+F103</f>
        <v>60</v>
      </c>
      <c r="AS130" s="325" t="s">
        <v>129</v>
      </c>
      <c r="AT130" s="325" t="s">
        <v>184</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185</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186</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187</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188</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189</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190</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191</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192</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193</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194</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173</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195</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196</v>
      </c>
      <c r="B142" s="255"/>
      <c r="C142" s="255"/>
      <c r="D142" s="255"/>
      <c r="E142" s="255"/>
      <c r="F142" s="255"/>
      <c r="G142" s="255"/>
      <c r="H142" s="255"/>
      <c r="I142" s="253"/>
      <c r="J142" s="407" t="s">
        <v>197</v>
      </c>
      <c r="K142" s="255"/>
      <c r="L142" s="253"/>
      <c r="M142" s="407" t="s">
        <v>198</v>
      </c>
      <c r="N142" s="255"/>
      <c r="O142" s="253"/>
      <c r="P142" s="266" t="s">
        <v>161</v>
      </c>
      <c r="Q142" s="255"/>
      <c r="R142" s="255"/>
      <c r="S142" s="253"/>
      <c r="T142" s="266" t="s">
        <v>176</v>
      </c>
      <c r="U142" s="255"/>
      <c r="V142" s="255"/>
      <c r="W142" s="255"/>
      <c r="X142" s="255"/>
      <c r="Y142" s="255"/>
      <c r="Z142" s="255"/>
      <c r="AA142" s="255"/>
      <c r="AB142" s="253"/>
      <c r="AC142" s="258" t="s">
        <v>177</v>
      </c>
      <c r="AD142" s="255"/>
      <c r="AE142" s="255"/>
      <c r="AF142" s="253"/>
      <c r="AG142" s="258" t="s">
        <v>160</v>
      </c>
      <c r="AH142" s="255"/>
      <c r="AI142" s="253"/>
      <c r="AJ142" s="258" t="s">
        <v>161</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199</v>
      </c>
      <c r="Q143" s="251"/>
      <c r="R143" s="251"/>
      <c r="S143" s="261"/>
      <c r="T143" s="312" t="s">
        <v>135</v>
      </c>
      <c r="U143" s="85"/>
      <c r="V143" s="85"/>
      <c r="W143" s="85"/>
      <c r="X143" s="86"/>
      <c r="Y143" s="408" t="s">
        <v>129</v>
      </c>
      <c r="Z143" s="85"/>
      <c r="AA143" s="85"/>
      <c r="AB143" s="86"/>
      <c r="AC143" s="265" t="s">
        <v>183</v>
      </c>
      <c r="AD143" s="251"/>
      <c r="AE143" s="251"/>
      <c r="AF143" s="261"/>
      <c r="AG143" s="265"/>
      <c r="AH143" s="251"/>
      <c r="AI143" s="261"/>
      <c r="AJ143" s="265" t="s">
        <v>169</v>
      </c>
      <c r="AK143" s="251"/>
      <c r="AL143" s="251"/>
      <c r="AM143" s="251"/>
      <c r="AN143" s="251"/>
      <c r="AO143" s="261"/>
      <c r="AP143" s="259"/>
      <c r="AQ143" s="31"/>
      <c r="AR143" s="409" t="s">
        <v>200</v>
      </c>
      <c r="AS143" s="410" t="s">
        <v>129</v>
      </c>
      <c r="AT143" s="410" t="s">
        <v>184</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185</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186</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187</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188</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189</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189</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189</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189</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189</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189</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189</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189</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201</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202</v>
      </c>
      <c r="B158" s="440"/>
      <c r="C158" s="440"/>
      <c r="D158" s="440"/>
      <c r="E158" s="440"/>
      <c r="F158" s="440"/>
      <c r="G158" s="440"/>
      <c r="H158" s="440"/>
      <c r="I158" s="440"/>
      <c r="J158" s="440"/>
      <c r="K158" s="34"/>
      <c r="L158" s="441"/>
      <c r="X158" s="263"/>
      <c r="Y158" s="442"/>
      <c r="Z158" s="387"/>
      <c r="AA158" s="387" t="s">
        <v>203</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204</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205</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206</v>
      </c>
      <c r="G160" s="450"/>
      <c r="P160" s="263"/>
      <c r="Q160" s="451" t="s">
        <v>207</v>
      </c>
      <c r="R160" s="452"/>
      <c r="S160" s="452"/>
      <c r="T160" s="452"/>
      <c r="U160" s="452"/>
      <c r="V160" s="452"/>
      <c r="W160" s="453"/>
      <c r="X160" s="453"/>
      <c r="Y160" s="396"/>
      <c r="Z160" s="396"/>
      <c r="AA160" s="396"/>
      <c r="AB160" s="396"/>
      <c r="AC160" s="396"/>
      <c r="AD160" s="396"/>
      <c r="AE160" s="396"/>
      <c r="AF160" s="454"/>
      <c r="AG160" s="396"/>
      <c r="AH160" s="455"/>
      <c r="AI160" s="456" t="s">
        <v>208</v>
      </c>
      <c r="AJ160" s="457" t="str">
        <f>AJ216</f>
        <v>#DIV/0!</v>
      </c>
      <c r="AK160" s="294"/>
      <c r="AL160" s="294"/>
      <c r="AM160" s="294"/>
      <c r="AN160" s="294"/>
      <c r="AO160" s="458"/>
      <c r="AP160" s="259"/>
      <c r="AQ160" s="31"/>
      <c r="AR160" s="459" t="str">
        <f>+(AJ160-AJ161)/AJ160</f>
        <v>#DIV/0!</v>
      </c>
      <c r="AS160" s="460" t="s">
        <v>209</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210</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211</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212</v>
      </c>
      <c r="AJ162" s="472" t="str">
        <f>AJ274</f>
        <v>#DIV/0!</v>
      </c>
      <c r="AK162" s="473"/>
      <c r="AL162" s="473"/>
      <c r="AM162" s="473"/>
      <c r="AN162" s="473"/>
      <c r="AO162" s="474"/>
      <c r="AP162" s="259"/>
      <c r="AQ162" s="31"/>
      <c r="AR162" s="475" t="str">
        <f>AI164/K139</f>
        <v>#DIV/0!</v>
      </c>
      <c r="AS162" s="476" t="s">
        <v>213</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214</v>
      </c>
      <c r="Q164" s="470"/>
      <c r="R164" s="479"/>
      <c r="T164" s="464"/>
      <c r="U164" s="464"/>
      <c r="V164" s="464"/>
      <c r="W164" s="464"/>
      <c r="X164" s="34"/>
      <c r="Y164" s="34"/>
      <c r="Z164" s="34"/>
      <c r="AA164" s="34"/>
      <c r="AB164" s="34"/>
      <c r="AC164" s="34"/>
      <c r="AD164" s="34"/>
      <c r="AE164" s="34"/>
      <c r="AF164" s="305"/>
      <c r="AG164" s="34"/>
      <c r="AH164" s="480" t="s">
        <v>215</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216</v>
      </c>
      <c r="AI165" s="481" t="str">
        <f>AI164*AR165</f>
        <v>#DIV/0!</v>
      </c>
      <c r="AJ165" s="482"/>
      <c r="AK165" s="482"/>
      <c r="AL165" s="482"/>
      <c r="AM165" s="482"/>
      <c r="AN165" s="482"/>
      <c r="AO165" s="483"/>
      <c r="AP165" s="31"/>
      <c r="AQ165" s="31"/>
      <c r="AR165" s="484">
        <v>0.006</v>
      </c>
      <c r="AS165" s="485" t="s">
        <v>217</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218</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219</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220</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221</v>
      </c>
      <c r="O171" s="90" t="s">
        <v>222</v>
      </c>
      <c r="P171" s="493"/>
      <c r="Q171" s="34"/>
      <c r="R171" s="493"/>
      <c r="S171" s="493"/>
      <c r="T171" s="493"/>
      <c r="U171" s="493"/>
      <c r="V171" s="90" t="s">
        <v>223</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224</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225</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226</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227</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228</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229</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230</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231</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232</v>
      </c>
      <c r="D185" s="85"/>
      <c r="E185" s="85"/>
      <c r="F185" s="85"/>
      <c r="G185" s="86"/>
      <c r="H185" s="510" t="s">
        <v>233</v>
      </c>
      <c r="I185" s="85"/>
      <c r="J185" s="85"/>
      <c r="K185" s="85"/>
      <c r="L185" s="85"/>
      <c r="M185" s="85"/>
      <c r="N185" s="86"/>
      <c r="O185" s="510" t="s">
        <v>234</v>
      </c>
      <c r="P185" s="85"/>
      <c r="Q185" s="85"/>
      <c r="R185" s="85"/>
      <c r="S185" s="85"/>
      <c r="T185" s="86"/>
      <c r="U185" s="510" t="s">
        <v>235</v>
      </c>
      <c r="V185" s="86"/>
      <c r="W185" s="510" t="s">
        <v>236</v>
      </c>
      <c r="X185" s="85"/>
      <c r="Y185" s="85"/>
      <c r="Z185" s="85"/>
      <c r="AA185" s="85"/>
      <c r="AB185" s="85"/>
      <c r="AC185" s="85"/>
      <c r="AD185" s="85"/>
      <c r="AE185" s="85"/>
      <c r="AF185" s="85"/>
      <c r="AG185" s="85"/>
      <c r="AH185" s="85"/>
      <c r="AI185" s="86"/>
      <c r="AJ185" s="510" t="s">
        <v>237</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Casa Habitación</v>
      </c>
      <c r="D186" s="85"/>
      <c r="E186" s="85"/>
      <c r="F186" s="85"/>
      <c r="G186" s="86"/>
      <c r="H186" s="514" t="str">
        <f>UPPER(+Mercado!F30)</f>
        <v>AVENIDA FIDEL VELAZQUEZ 380</v>
      </c>
      <c r="I186" s="255"/>
      <c r="J186" s="255"/>
      <c r="K186" s="255"/>
      <c r="L186" s="255"/>
      <c r="M186" s="255"/>
      <c r="N186" s="253"/>
      <c r="O186" s="515" t="str">
        <f>UPPER(+Mercado!E30)</f>
        <v>SAN ELIAS</v>
      </c>
      <c r="P186" s="255"/>
      <c r="Q186" s="255"/>
      <c r="R186" s="255"/>
      <c r="S186" s="255"/>
      <c r="T186" s="253"/>
      <c r="U186" s="516">
        <f>+Mercado!L30</f>
        <v>40</v>
      </c>
      <c r="V186" s="253"/>
      <c r="W186" s="517" t="str">
        <f>PROPER(+Mercado!G30)</f>
        <v>1 Nivel 3 Recamaras Con Closet Cocina Con Alacenas Estufas Área Sala-Comedor 1 Baño Completo Patio Amplio Con Jardín</v>
      </c>
      <c r="X186" s="255"/>
      <c r="Y186" s="255"/>
      <c r="Z186" s="255"/>
      <c r="AA186" s="255"/>
      <c r="AB186" s="255"/>
      <c r="AC186" s="255"/>
      <c r="AD186" s="255"/>
      <c r="AE186" s="255"/>
      <c r="AF186" s="255"/>
      <c r="AG186" s="255"/>
      <c r="AH186" s="255"/>
      <c r="AI186" s="253"/>
      <c r="AJ186" s="518" t="str">
        <f>UPPER(CONCATENATE(Mercado!M30,Mercado!N30))</f>
        <v>GPM BIENES RAICES 33 1305 0083</v>
      </c>
      <c r="AK186" s="255"/>
      <c r="AL186" s="255"/>
      <c r="AM186" s="255"/>
      <c r="AN186" s="255"/>
      <c r="AO186" s="253"/>
      <c r="AP186" s="31"/>
      <c r="AQ186" s="519"/>
      <c r="AR186" s="520" t="s">
        <v>238</v>
      </c>
      <c r="AS186" s="520" t="s">
        <v>239</v>
      </c>
      <c r="AT186" s="520" t="s">
        <v>240</v>
      </c>
      <c r="AU186" s="521" t="s">
        <v>239</v>
      </c>
      <c r="AV186" s="522"/>
      <c r="AW186" s="520" t="s">
        <v>238</v>
      </c>
      <c r="AX186" s="520" t="s">
        <v>239</v>
      </c>
      <c r="AY186" s="520"/>
      <c r="AZ186" s="520" t="s">
        <v>240</v>
      </c>
      <c r="BA186" s="521" t="s">
        <v>239</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Casa Habitación</v>
      </c>
      <c r="D187" s="85"/>
      <c r="E187" s="85"/>
      <c r="F187" s="85"/>
      <c r="G187" s="86"/>
      <c r="H187" s="514" t="str">
        <f>UPPER(+Mercado!F31)</f>
        <v>PLATÓN S/N</v>
      </c>
      <c r="I187" s="255"/>
      <c r="J187" s="255"/>
      <c r="K187" s="255"/>
      <c r="L187" s="255"/>
      <c r="M187" s="255"/>
      <c r="N187" s="253"/>
      <c r="O187" s="515" t="str">
        <f>UPPER(+Mercado!E31)</f>
        <v>INDEPENDENCIA</v>
      </c>
      <c r="P187" s="255"/>
      <c r="Q187" s="255"/>
      <c r="R187" s="255"/>
      <c r="S187" s="255"/>
      <c r="T187" s="253"/>
      <c r="U187" s="516">
        <f>+Mercado!L31</f>
        <v>30</v>
      </c>
      <c r="V187" s="253"/>
      <c r="W187" s="517" t="str">
        <f>PROPER(+Mercado!G31)</f>
        <v>3 Recámaras 2 1/2 Baños 3 Cocheras Terraza Al Ingreso De La Casa 1 Área De Lavado Local Comercial Al Frente De 35.00 Mts Con Medio Baño.</v>
      </c>
      <c r="X187" s="255"/>
      <c r="Y187" s="255"/>
      <c r="Z187" s="255"/>
      <c r="AA187" s="255"/>
      <c r="AB187" s="255"/>
      <c r="AC187" s="255"/>
      <c r="AD187" s="255"/>
      <c r="AE187" s="255"/>
      <c r="AF187" s="255"/>
      <c r="AG187" s="255"/>
      <c r="AH187" s="255"/>
      <c r="AI187" s="253"/>
      <c r="AJ187" s="518" t="str">
        <f>UPPER(CONCATENATE(Mercado!M31,Mercado!N31))</f>
        <v>IMPACTO INMOBILIARIA33 3485 2244</v>
      </c>
      <c r="AK187" s="255"/>
      <c r="AL187" s="255"/>
      <c r="AM187" s="255"/>
      <c r="AN187" s="255"/>
      <c r="AO187" s="253"/>
      <c r="AP187" s="31"/>
      <c r="AQ187" s="525" t="s">
        <v>170</v>
      </c>
      <c r="AR187" s="526">
        <f>+AC124</f>
        <v>0</v>
      </c>
      <c r="AS187" s="527" t="str">
        <f t="shared" ref="AS187:AS189" si="22">+AR187/$AR$189</f>
        <v>#DIV/0!</v>
      </c>
      <c r="AT187" s="526">
        <f>+AC124</f>
        <v>0</v>
      </c>
      <c r="AU187" s="528" t="str">
        <f t="shared" ref="AU187:AU189" si="23">+AT187/$AT$189</f>
        <v>#DIV/0!</v>
      </c>
      <c r="AV187" s="529" t="s">
        <v>241</v>
      </c>
      <c r="AW187" s="526">
        <f>+AJ127</f>
        <v>0</v>
      </c>
      <c r="AX187" s="527" t="str">
        <f t="shared" ref="AX187:AX190" si="24">+AW187/$AW$190</f>
        <v>#DIV/0!</v>
      </c>
      <c r="AY187" s="529" t="s">
        <v>241</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Casa Habitación</v>
      </c>
      <c r="D188" s="85"/>
      <c r="E188" s="85"/>
      <c r="F188" s="85"/>
      <c r="G188" s="86"/>
      <c r="H188" s="514" t="str">
        <f>UPPER(+Mercado!F32)</f>
        <v>MONUMENTAL S/N</v>
      </c>
      <c r="I188" s="255"/>
      <c r="J188" s="255"/>
      <c r="K188" s="255"/>
      <c r="L188" s="255"/>
      <c r="M188" s="255"/>
      <c r="N188" s="253"/>
      <c r="O188" s="515" t="str">
        <f>UPPER(+Mercado!E32)</f>
        <v>MONUMENTAL</v>
      </c>
      <c r="P188" s="255"/>
      <c r="Q188" s="255"/>
      <c r="R188" s="255"/>
      <c r="S188" s="255"/>
      <c r="T188" s="253"/>
      <c r="U188" s="516">
        <f>+Mercado!L32</f>
        <v>6</v>
      </c>
      <c r="V188" s="253"/>
      <c r="W188" s="517" t="str">
        <f>PROPER(+Mercado!G32)</f>
        <v>Cochera Un Auto, Jardín Exterior, Sala Comedor, Cocina, Patio De Servicio, Pasillo Distribuidor, Dos Recámara Secundarias Cada Una Con Su Clóset Que Comparten Un Baño Completo Y Otra Principal Con Baño Completo, Jardín Interior.</v>
      </c>
      <c r="X188" s="255"/>
      <c r="Y188" s="255"/>
      <c r="Z188" s="255"/>
      <c r="AA188" s="255"/>
      <c r="AB188" s="255"/>
      <c r="AC188" s="255"/>
      <c r="AD188" s="255"/>
      <c r="AE188" s="255"/>
      <c r="AF188" s="255"/>
      <c r="AG188" s="255"/>
      <c r="AH188" s="255"/>
      <c r="AI188" s="253"/>
      <c r="AJ188" s="518" t="str">
        <f>UPPER(CONCATENATE(Mercado!M32,Mercado!N32))</f>
        <v>ENF COMERCIALIZADORA5664068640</v>
      </c>
      <c r="AK188" s="255"/>
      <c r="AL188" s="255"/>
      <c r="AM188" s="255"/>
      <c r="AN188" s="255"/>
      <c r="AO188" s="253"/>
      <c r="AP188" s="31"/>
      <c r="AQ188" s="525" t="s">
        <v>242</v>
      </c>
      <c r="AR188" s="530">
        <f>+AC131</f>
        <v>0</v>
      </c>
      <c r="AS188" s="527" t="str">
        <f t="shared" si="22"/>
        <v>#DIV/0!</v>
      </c>
      <c r="AT188" s="531" t="str">
        <f>+AL210-AT187</f>
        <v>#DIV/0!</v>
      </c>
      <c r="AU188" s="528" t="str">
        <f t="shared" si="23"/>
        <v>#DIV/0!</v>
      </c>
      <c r="AV188" s="529" t="s">
        <v>243</v>
      </c>
      <c r="AW188" s="530">
        <f>+AJ139</f>
        <v>0</v>
      </c>
      <c r="AX188" s="527" t="str">
        <f t="shared" si="24"/>
        <v>#DIV/0!</v>
      </c>
      <c r="AY188" s="529" t="s">
        <v>243</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Casa Habitación</v>
      </c>
      <c r="D189" s="85"/>
      <c r="E189" s="85"/>
      <c r="F189" s="85"/>
      <c r="G189" s="86"/>
      <c r="H189" s="514" t="str">
        <f>UPPER(+Mercado!F33)</f>
        <v>AVENIDA DE LOS MAESTROS 576</v>
      </c>
      <c r="I189" s="255"/>
      <c r="J189" s="255"/>
      <c r="K189" s="255"/>
      <c r="L189" s="255"/>
      <c r="M189" s="255"/>
      <c r="N189" s="253"/>
      <c r="O189" s="515" t="str">
        <f>UPPER(+Mercado!E33)</f>
        <v>ALCALDE BARRANQUITAS</v>
      </c>
      <c r="P189" s="255"/>
      <c r="Q189" s="255"/>
      <c r="R189" s="255"/>
      <c r="S189" s="255"/>
      <c r="T189" s="253"/>
      <c r="U189" s="516">
        <f>+Mercado!L33</f>
        <v>40</v>
      </c>
      <c r="V189" s="253"/>
      <c r="W189" s="517" t="str">
        <f>PROPER(+Mercado!G33)</f>
        <v>4 Recámaras, 2 Baños Uso De Suelo Mixto, Comercial Y Habitacional, Cuarto De Servicio Con Baño, Área De Lavandería</v>
      </c>
      <c r="X189" s="255"/>
      <c r="Y189" s="255"/>
      <c r="Z189" s="255"/>
      <c r="AA189" s="255"/>
      <c r="AB189" s="255"/>
      <c r="AC189" s="255"/>
      <c r="AD189" s="255"/>
      <c r="AE189" s="255"/>
      <c r="AF189" s="255"/>
      <c r="AG189" s="255"/>
      <c r="AH189" s="255"/>
      <c r="AI189" s="253"/>
      <c r="AJ189" s="518" t="str">
        <f>UPPER(CONCATENATE(Mercado!M33,Mercado!N33))</f>
        <v>IAD INMOBILIARIA5513289530</v>
      </c>
      <c r="AK189" s="255"/>
      <c r="AL189" s="255"/>
      <c r="AM189" s="255"/>
      <c r="AN189" s="255"/>
      <c r="AO189" s="253"/>
      <c r="AP189" s="31"/>
      <c r="AQ189" s="532" t="s">
        <v>244</v>
      </c>
      <c r="AR189" s="533">
        <f>SUM(AR187:AR188)</f>
        <v>0</v>
      </c>
      <c r="AS189" s="534" t="str">
        <f t="shared" si="22"/>
        <v>#DIV/0!</v>
      </c>
      <c r="AT189" s="535" t="str">
        <f>SUM(AT187:AT188)</f>
        <v>#DIV/0!</v>
      </c>
      <c r="AU189" s="536" t="str">
        <f t="shared" si="23"/>
        <v>#DIV/0!</v>
      </c>
      <c r="AV189" s="537" t="s">
        <v>245</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Casa Habitación</v>
      </c>
      <c r="D190" s="251"/>
      <c r="E190" s="251"/>
      <c r="F190" s="251"/>
      <c r="G190" s="261"/>
      <c r="H190" s="541" t="str">
        <f>UPPER(+Mercado!F34)</f>
        <v> LOS ALPES 1548</v>
      </c>
      <c r="I190" s="85"/>
      <c r="J190" s="85"/>
      <c r="K190" s="85"/>
      <c r="L190" s="85"/>
      <c r="M190" s="85"/>
      <c r="N190" s="86"/>
      <c r="O190" s="542" t="str">
        <f>UPPER(+Mercado!E34)</f>
        <v>INDEPENDENCIA ORIENTE</v>
      </c>
      <c r="P190" s="85"/>
      <c r="Q190" s="85"/>
      <c r="R190" s="85"/>
      <c r="S190" s="85"/>
      <c r="T190" s="86"/>
      <c r="U190" s="543">
        <f>+Mercado!L34</f>
        <v>40</v>
      </c>
      <c r="V190" s="86"/>
      <c r="W190" s="544" t="str">
        <f>PROPER(+Mercado!G34)</f>
        <v>Sala Y Comedor Cocina Integral 5 Recámaras, 2 Baños Completos, Jardín Lateral, Espacio Para 1 Auto</v>
      </c>
      <c r="X190" s="85"/>
      <c r="Y190" s="85"/>
      <c r="Z190" s="85"/>
      <c r="AA190" s="85"/>
      <c r="AB190" s="85"/>
      <c r="AC190" s="85"/>
      <c r="AD190" s="85"/>
      <c r="AE190" s="85"/>
      <c r="AF190" s="85"/>
      <c r="AG190" s="85"/>
      <c r="AH190" s="85"/>
      <c r="AI190" s="86"/>
      <c r="AJ190" s="545" t="str">
        <f>UPPER(CONCATENATE(Mercado!M34,Mercado!N34))</f>
        <v>CASA ADMINISTRACIONES33 3040 8700</v>
      </c>
      <c r="AK190" s="85"/>
      <c r="AL190" s="85"/>
      <c r="AM190" s="85"/>
      <c r="AN190" s="85"/>
      <c r="AO190" s="86"/>
      <c r="AP190" s="31"/>
      <c r="AQ190" s="31"/>
      <c r="AR190" s="31"/>
      <c r="AS190" s="31"/>
      <c r="AT190" s="31"/>
      <c r="AU190" s="31"/>
      <c r="AV190" s="546" t="s">
        <v>244</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246</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247</v>
      </c>
      <c r="D193" s="85"/>
      <c r="E193" s="86"/>
      <c r="F193" s="557" t="s">
        <v>248</v>
      </c>
      <c r="G193" s="85"/>
      <c r="H193" s="86"/>
      <c r="I193" s="558" t="s">
        <v>249</v>
      </c>
      <c r="J193" s="85"/>
      <c r="K193" s="85"/>
      <c r="L193" s="86"/>
      <c r="M193" s="558" t="s">
        <v>250</v>
      </c>
      <c r="N193" s="85"/>
      <c r="O193" s="86"/>
      <c r="P193" s="557" t="s">
        <v>251</v>
      </c>
      <c r="Q193" s="86"/>
      <c r="R193" s="557" t="s">
        <v>252</v>
      </c>
      <c r="S193" s="85"/>
      <c r="T193" s="86"/>
      <c r="U193" s="559"/>
      <c r="V193" s="560"/>
      <c r="W193" s="558" t="s">
        <v>253</v>
      </c>
      <c r="X193" s="85"/>
      <c r="Y193" s="86"/>
      <c r="Z193" s="558" t="s">
        <v>254</v>
      </c>
      <c r="AA193" s="85"/>
      <c r="AB193" s="85"/>
      <c r="AC193" s="86"/>
      <c r="AD193" s="561" t="s">
        <v>255</v>
      </c>
      <c r="AE193" s="85"/>
      <c r="AF193" s="86"/>
      <c r="AG193" s="562" t="s">
        <v>256</v>
      </c>
      <c r="AH193" s="86"/>
      <c r="AI193" s="557" t="s">
        <v>257</v>
      </c>
      <c r="AJ193" s="85"/>
      <c r="AK193" s="86"/>
      <c r="AL193" s="558" t="s">
        <v>258</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f>Mercado!H30</f>
        <v>117</v>
      </c>
      <c r="D194" s="255"/>
      <c r="E194" s="565"/>
      <c r="F194" s="566">
        <f>Mercado!I30</f>
        <v>71</v>
      </c>
      <c r="G194" s="567"/>
      <c r="H194" s="568"/>
      <c r="I194" s="569">
        <f>Mercado!J30</f>
        <v>2700000</v>
      </c>
      <c r="J194" s="567"/>
      <c r="K194" s="567"/>
      <c r="L194" s="512"/>
      <c r="M194" s="570">
        <f t="shared" ref="M194:M198" si="26">I194/F194</f>
        <v>38028.16901</v>
      </c>
      <c r="N194" s="567"/>
      <c r="O194" s="512"/>
      <c r="P194" s="571">
        <f t="shared" ref="P194:P198" si="27">+F194/C194</f>
        <v>0.6068376068</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f>Mercado!H31</f>
        <v>276</v>
      </c>
      <c r="D195" s="582"/>
      <c r="E195" s="583"/>
      <c r="F195" s="584">
        <f>Mercado!I31</f>
        <v>193</v>
      </c>
      <c r="G195" s="582"/>
      <c r="H195" s="583"/>
      <c r="I195" s="585">
        <f>Mercado!J31</f>
        <v>6600000</v>
      </c>
      <c r="J195" s="582"/>
      <c r="K195" s="582"/>
      <c r="L195" s="524"/>
      <c r="M195" s="586">
        <f t="shared" si="26"/>
        <v>34196.89119</v>
      </c>
      <c r="N195" s="582"/>
      <c r="O195" s="524"/>
      <c r="P195" s="587">
        <f t="shared" si="27"/>
        <v>0.6992753623</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f>Mercado!H32</f>
        <v>140</v>
      </c>
      <c r="D196" s="582"/>
      <c r="E196" s="583"/>
      <c r="F196" s="584">
        <f>Mercado!I32</f>
        <v>103</v>
      </c>
      <c r="G196" s="582"/>
      <c r="H196" s="583"/>
      <c r="I196" s="585">
        <f>Mercado!J32</f>
        <v>3790000</v>
      </c>
      <c r="J196" s="582"/>
      <c r="K196" s="582"/>
      <c r="L196" s="524"/>
      <c r="M196" s="586">
        <f t="shared" si="26"/>
        <v>36796.1165</v>
      </c>
      <c r="N196" s="582"/>
      <c r="O196" s="524"/>
      <c r="P196" s="587">
        <f t="shared" si="27"/>
        <v>0.7357142857</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f>Mercado!H33</f>
        <v>314</v>
      </c>
      <c r="D197" s="582"/>
      <c r="E197" s="583"/>
      <c r="F197" s="584">
        <f>Mercado!I33</f>
        <v>201</v>
      </c>
      <c r="G197" s="582"/>
      <c r="H197" s="583"/>
      <c r="I197" s="585">
        <f>Mercado!J33</f>
        <v>7500000</v>
      </c>
      <c r="J197" s="582"/>
      <c r="K197" s="582"/>
      <c r="L197" s="524"/>
      <c r="M197" s="586">
        <f t="shared" si="26"/>
        <v>37313.43284</v>
      </c>
      <c r="N197" s="582"/>
      <c r="O197" s="524"/>
      <c r="P197" s="587">
        <f t="shared" si="27"/>
        <v>0.6401273885</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f>Mercado!H34</f>
        <v>175</v>
      </c>
      <c r="D198" s="598"/>
      <c r="E198" s="599"/>
      <c r="F198" s="600">
        <f>Mercado!I34</f>
        <v>158</v>
      </c>
      <c r="G198" s="598"/>
      <c r="H198" s="599"/>
      <c r="I198" s="601">
        <f>Mercado!J34</f>
        <v>4200000</v>
      </c>
      <c r="J198" s="598"/>
      <c r="K198" s="598"/>
      <c r="L198" s="602"/>
      <c r="M198" s="603">
        <f t="shared" si="26"/>
        <v>26582.27848</v>
      </c>
      <c r="N198" s="604"/>
      <c r="O198" s="596"/>
      <c r="P198" s="605">
        <f t="shared" si="27"/>
        <v>0.9028571429</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104</v>
      </c>
      <c r="F199" s="615" t="s">
        <v>104</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259</v>
      </c>
      <c r="M200" s="628">
        <f>AVERAGE(M194:M198)</f>
        <v>34583.37761</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260</v>
      </c>
      <c r="AK200" s="629"/>
      <c r="AL200" s="630" t="str">
        <f>AVERAGE(AL194:AL198)</f>
        <v>#DIV/0!</v>
      </c>
      <c r="AM200" s="482"/>
      <c r="AN200" s="482"/>
      <c r="AO200" s="483"/>
      <c r="AP200" s="31"/>
      <c r="AQ200" s="31"/>
      <c r="AR200" s="31"/>
      <c r="AS200" s="31"/>
      <c r="AT200" s="631">
        <f>+K139</f>
        <v>0</v>
      </c>
      <c r="AV200" s="31" t="s">
        <v>261</v>
      </c>
      <c r="AW200" s="31"/>
      <c r="AX200" s="31"/>
      <c r="AY200" s="31"/>
      <c r="AZ200" s="31" t="s">
        <v>262</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263</v>
      </c>
      <c r="B202" s="632"/>
      <c r="C202" s="633"/>
      <c r="D202" s="633"/>
      <c r="E202" s="633"/>
      <c r="F202" s="633"/>
      <c r="G202" s="633"/>
      <c r="H202" s="633"/>
      <c r="I202" s="633"/>
      <c r="J202" s="547"/>
      <c r="K202" s="34"/>
      <c r="L202" s="634" t="s">
        <v>264</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265</v>
      </c>
      <c r="AZ202" s="636" t="s">
        <v>266</v>
      </c>
      <c r="BA202" s="637"/>
      <c r="BB202" s="31"/>
      <c r="BC202" s="636" t="s">
        <v>267</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247</v>
      </c>
      <c r="D203" s="85"/>
      <c r="E203" s="86"/>
      <c r="F203" s="557" t="s">
        <v>248</v>
      </c>
      <c r="G203" s="85"/>
      <c r="H203" s="86"/>
      <c r="I203" s="638" t="s">
        <v>250</v>
      </c>
      <c r="J203" s="85"/>
      <c r="K203" s="86"/>
      <c r="L203" s="639" t="s">
        <v>162</v>
      </c>
      <c r="M203" s="85"/>
      <c r="N203" s="639" t="s">
        <v>163</v>
      </c>
      <c r="O203" s="85"/>
      <c r="P203" s="86"/>
      <c r="Q203" s="639" t="s">
        <v>268</v>
      </c>
      <c r="R203" s="85"/>
      <c r="S203" s="86"/>
      <c r="T203" s="639" t="s">
        <v>166</v>
      </c>
      <c r="U203" s="85"/>
      <c r="V203" s="85"/>
      <c r="W203" s="85"/>
      <c r="X203" s="86"/>
      <c r="Y203" s="639" t="s">
        <v>129</v>
      </c>
      <c r="Z203" s="85"/>
      <c r="AA203" s="86"/>
      <c r="AB203" s="639" t="s">
        <v>180</v>
      </c>
      <c r="AC203" s="85"/>
      <c r="AD203" s="86"/>
      <c r="AE203" s="639" t="s">
        <v>167</v>
      </c>
      <c r="AF203" s="85"/>
      <c r="AG203" s="86"/>
      <c r="AH203" s="639" t="s">
        <v>269</v>
      </c>
      <c r="AI203" s="85"/>
      <c r="AJ203" s="85"/>
      <c r="AK203" s="86"/>
      <c r="AL203" s="638" t="s">
        <v>270</v>
      </c>
      <c r="AM203" s="85"/>
      <c r="AN203" s="85"/>
      <c r="AO203" s="86"/>
      <c r="AP203" s="259"/>
      <c r="AQ203" s="31"/>
      <c r="AR203" s="31"/>
      <c r="AS203" s="31"/>
      <c r="AT203" s="31"/>
      <c r="AU203" s="31"/>
      <c r="AV203" s="640" t="s">
        <v>268</v>
      </c>
      <c r="AW203" s="64" t="s">
        <v>271</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f t="shared" ref="C204:C208" si="35">C194</f>
        <v>117</v>
      </c>
      <c r="D204" s="255"/>
      <c r="E204" s="253"/>
      <c r="F204" s="646">
        <f t="shared" ref="F204:F208" si="36">F194</f>
        <v>71</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f t="shared" ref="T204:T208" si="39">+AW204</f>
        <v>0</v>
      </c>
      <c r="U204" s="255"/>
      <c r="V204" s="255"/>
      <c r="W204" s="255"/>
      <c r="X204" s="253"/>
      <c r="Y204" s="650">
        <f t="shared" ref="Y204:Y208" si="40">+$AZ$203/AZ204</f>
        <v>0.725</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f t="shared" ref="AW204:AW208" si="43">($C$127/C194)^(1/$AU$204)</f>
        <v>0</v>
      </c>
      <c r="AX204" s="31"/>
      <c r="AY204" s="31"/>
      <c r="AZ204" s="656">
        <f>VLOOKUP(Mercado!L30,'catalogo 2'!$A$143:$C$185,3)/100 </f>
        <v>0.8</v>
      </c>
      <c r="BA204" s="33"/>
      <c r="BB204" s="31"/>
      <c r="BC204" s="656">
        <f>VLOOKUP(Mercado!L30,'catalogo 2'!$A$2:$C$7,3)/100 </f>
        <v>0.75</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f t="shared" si="35"/>
        <v>276</v>
      </c>
      <c r="D205" s="582"/>
      <c r="E205" s="524"/>
      <c r="F205" s="657">
        <f t="shared" si="36"/>
        <v>193</v>
      </c>
      <c r="G205" s="582"/>
      <c r="H205" s="524"/>
      <c r="I205" s="658" t="str">
        <f t="shared" si="37"/>
        <v>#DIV/0!</v>
      </c>
      <c r="J205" s="582"/>
      <c r="K205" s="524"/>
      <c r="L205" s="659">
        <v>1.0</v>
      </c>
      <c r="M205" s="582"/>
      <c r="N205" s="659">
        <v>1.0</v>
      </c>
      <c r="O205" s="582"/>
      <c r="P205" s="524"/>
      <c r="Q205" s="659" t="str">
        <f t="shared" si="38"/>
        <v>#DIV/0!</v>
      </c>
      <c r="R205" s="582"/>
      <c r="S205" s="524"/>
      <c r="T205" s="660">
        <f t="shared" si="39"/>
        <v>0</v>
      </c>
      <c r="U205" s="661"/>
      <c r="V205" s="661"/>
      <c r="W205" s="661"/>
      <c r="X205" s="662"/>
      <c r="Y205" s="659">
        <f t="shared" si="40"/>
        <v>0.6823529412</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f t="shared" si="43"/>
        <v>0</v>
      </c>
      <c r="AX205" s="31"/>
      <c r="AY205" s="31"/>
      <c r="AZ205" s="656">
        <f>VLOOKUP(Mercado!L31,'catalogo 2'!$A$143:$C$185,3)/100 </f>
        <v>0.85</v>
      </c>
      <c r="BA205" s="33"/>
      <c r="BB205" s="31"/>
      <c r="BC205" s="656">
        <f>VLOOKUP(Mercado!L31,'catalogo 2'!$A$2:$C$7,3)/100 </f>
        <v>0.8</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f t="shared" si="35"/>
        <v>140</v>
      </c>
      <c r="D206" s="582"/>
      <c r="E206" s="524"/>
      <c r="F206" s="657">
        <f t="shared" si="36"/>
        <v>103</v>
      </c>
      <c r="G206" s="582"/>
      <c r="H206" s="524"/>
      <c r="I206" s="658" t="str">
        <f t="shared" si="37"/>
        <v>#DIV/0!</v>
      </c>
      <c r="J206" s="582"/>
      <c r="K206" s="524"/>
      <c r="L206" s="659">
        <v>1.0</v>
      </c>
      <c r="M206" s="582"/>
      <c r="N206" s="659">
        <v>1.0</v>
      </c>
      <c r="O206" s="582"/>
      <c r="P206" s="524"/>
      <c r="Q206" s="659" t="str">
        <f t="shared" si="38"/>
        <v>#DIV/0!</v>
      </c>
      <c r="R206" s="582"/>
      <c r="S206" s="524"/>
      <c r="T206" s="660">
        <f t="shared" si="39"/>
        <v>0</v>
      </c>
      <c r="U206" s="661"/>
      <c r="V206" s="661"/>
      <c r="W206" s="661"/>
      <c r="X206" s="662"/>
      <c r="Y206" s="659">
        <f t="shared" si="40"/>
        <v>0.5979381443</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f t="shared" si="43"/>
        <v>0</v>
      </c>
      <c r="AX206" s="31"/>
      <c r="AY206" s="31"/>
      <c r="AZ206" s="656">
        <f>VLOOKUP(Mercado!L32,'catalogo 2'!$A$143:$C$185,3)/100 </f>
        <v>0.97</v>
      </c>
      <c r="BA206" s="33"/>
      <c r="BB206" s="31"/>
      <c r="BC206" s="656">
        <f>VLOOKUP(Mercado!L32,'catalogo 2'!$A$2:$C$7,3)/100 </f>
        <v>0.95</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f t="shared" si="35"/>
        <v>314</v>
      </c>
      <c r="D207" s="582"/>
      <c r="E207" s="524"/>
      <c r="F207" s="657">
        <f t="shared" si="36"/>
        <v>201</v>
      </c>
      <c r="G207" s="582"/>
      <c r="H207" s="524"/>
      <c r="I207" s="658" t="str">
        <f t="shared" si="37"/>
        <v>#DIV/0!</v>
      </c>
      <c r="J207" s="582"/>
      <c r="K207" s="524"/>
      <c r="L207" s="659">
        <v>1.0</v>
      </c>
      <c r="M207" s="582"/>
      <c r="N207" s="659">
        <v>1.0</v>
      </c>
      <c r="O207" s="582"/>
      <c r="P207" s="524"/>
      <c r="Q207" s="659" t="str">
        <f t="shared" si="38"/>
        <v>#DIV/0!</v>
      </c>
      <c r="R207" s="582"/>
      <c r="S207" s="524"/>
      <c r="T207" s="660">
        <f t="shared" si="39"/>
        <v>0</v>
      </c>
      <c r="U207" s="661"/>
      <c r="V207" s="661"/>
      <c r="W207" s="661"/>
      <c r="X207" s="662"/>
      <c r="Y207" s="659">
        <f t="shared" si="40"/>
        <v>0.725</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f t="shared" si="43"/>
        <v>0</v>
      </c>
      <c r="AX207" s="31"/>
      <c r="AY207" s="31"/>
      <c r="AZ207" s="656">
        <f>VLOOKUP(Mercado!L33,'catalogo 2'!$A$143:$C$185,3)/100 </f>
        <v>0.8</v>
      </c>
      <c r="BA207" s="33"/>
      <c r="BB207" s="31"/>
      <c r="BC207" s="656">
        <f>VLOOKUP(Mercado!L33,'catalogo 2'!$A$2:$C$7,3)/100 </f>
        <v>0.75</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f t="shared" si="35"/>
        <v>175</v>
      </c>
      <c r="D208" s="604"/>
      <c r="E208" s="596"/>
      <c r="F208" s="672">
        <f t="shared" si="36"/>
        <v>158</v>
      </c>
      <c r="G208" s="604"/>
      <c r="H208" s="596"/>
      <c r="I208" s="673" t="str">
        <f t="shared" si="37"/>
        <v>#DIV/0!</v>
      </c>
      <c r="J208" s="604"/>
      <c r="K208" s="596"/>
      <c r="L208" s="674">
        <v>1.0</v>
      </c>
      <c r="M208" s="604"/>
      <c r="N208" s="674">
        <v>1.0</v>
      </c>
      <c r="O208" s="604"/>
      <c r="P208" s="596"/>
      <c r="Q208" s="674" t="str">
        <f t="shared" si="38"/>
        <v>#DIV/0!</v>
      </c>
      <c r="R208" s="604"/>
      <c r="S208" s="596"/>
      <c r="T208" s="674">
        <f t="shared" si="39"/>
        <v>0</v>
      </c>
      <c r="U208" s="604"/>
      <c r="V208" s="604"/>
      <c r="W208" s="604"/>
      <c r="X208" s="596"/>
      <c r="Y208" s="674">
        <f t="shared" si="40"/>
        <v>0.725</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f t="shared" si="43"/>
        <v>0</v>
      </c>
      <c r="AX208" s="31"/>
      <c r="AY208" s="31"/>
      <c r="AZ208" s="678">
        <f>VLOOKUP(Mercado!L34,'catalogo 2'!$A$143:$C$185,3)/100 </f>
        <v>0.8</v>
      </c>
      <c r="BA208" s="679"/>
      <c r="BB208" s="31"/>
      <c r="BC208" s="678">
        <f>VLOOKUP(Mercado!L34,'catalogo 2'!$A$2:$C$7,3)/100 </f>
        <v>0.75</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104</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259</v>
      </c>
      <c r="I210" s="692" t="str">
        <f>AVERAGE(I204:I208)</f>
        <v>#DIV/0!</v>
      </c>
      <c r="J210" s="482"/>
      <c r="K210" s="483"/>
      <c r="L210" s="693" t="s">
        <v>272</v>
      </c>
      <c r="M210" s="693"/>
      <c r="N210" s="34"/>
      <c r="O210" s="694" t="s">
        <v>273</v>
      </c>
      <c r="P210" s="467"/>
      <c r="Q210" s="467"/>
      <c r="R210" s="467"/>
      <c r="S210" s="467"/>
      <c r="T210" s="467"/>
      <c r="U210" s="467"/>
      <c r="V210" s="467"/>
      <c r="W210" s="467"/>
      <c r="X210" s="467"/>
      <c r="Y210" s="467"/>
      <c r="Z210" s="467"/>
      <c r="AA210" s="467"/>
      <c r="AB210" s="467"/>
      <c r="AC210" s="467"/>
      <c r="AD210" s="467"/>
      <c r="AE210" s="467"/>
      <c r="AF210" s="467"/>
      <c r="AG210" s="695"/>
      <c r="AH210" s="691" t="s">
        <v>259</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274</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275</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276</v>
      </c>
      <c r="D213" s="709"/>
      <c r="E213" s="710" t="str">
        <f>MIN(AL204:AL208)</f>
        <v>#DIV/0!</v>
      </c>
      <c r="F213" s="85"/>
      <c r="G213" s="85"/>
      <c r="H213" s="86"/>
      <c r="I213" s="711" t="s">
        <v>277</v>
      </c>
      <c r="J213" s="711"/>
      <c r="K213" s="712"/>
      <c r="L213" s="713"/>
      <c r="M213" s="713"/>
      <c r="N213" s="713"/>
      <c r="O213" s="701"/>
      <c r="P213" s="701"/>
      <c r="Q213" s="703"/>
      <c r="R213" s="714"/>
      <c r="S213" s="703"/>
      <c r="T213" s="715"/>
      <c r="U213" s="715"/>
      <c r="V213" s="715"/>
      <c r="W213" s="715"/>
      <c r="X213" s="715"/>
      <c r="Y213" s="716" t="s">
        <v>278</v>
      </c>
      <c r="Z213" s="717" t="str">
        <f>AL210</f>
        <v>#DIV/0!</v>
      </c>
      <c r="AA213" s="85"/>
      <c r="AB213" s="85"/>
      <c r="AC213" s="85"/>
      <c r="AD213" s="86"/>
      <c r="AE213" s="711" t="s">
        <v>277</v>
      </c>
      <c r="AF213" s="715"/>
      <c r="AG213" s="715"/>
      <c r="AH213" s="715"/>
      <c r="AI213" s="703"/>
      <c r="AJ213" s="703"/>
      <c r="AK213" s="703"/>
      <c r="AL213" s="703"/>
      <c r="AM213" s="703"/>
      <c r="AN213" s="704"/>
      <c r="AO213" s="705"/>
      <c r="AP213" s="31"/>
      <c r="AQ213" s="31"/>
      <c r="AR213" s="718" t="s">
        <v>279</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259</v>
      </c>
      <c r="D214" s="709"/>
      <c r="E214" s="710" t="str">
        <f>AL210</f>
        <v>#DIV/0!</v>
      </c>
      <c r="F214" s="85"/>
      <c r="G214" s="85"/>
      <c r="H214" s="86"/>
      <c r="I214" s="711" t="s">
        <v>277</v>
      </c>
      <c r="J214" s="711"/>
      <c r="K214" s="712"/>
      <c r="L214" s="713"/>
      <c r="M214" s="713"/>
      <c r="N214" s="713"/>
      <c r="O214" s="701"/>
      <c r="P214" s="701"/>
      <c r="Q214" s="703"/>
      <c r="R214" s="714"/>
      <c r="S214" s="703"/>
      <c r="T214" s="715"/>
      <c r="U214" s="715"/>
      <c r="V214" s="715"/>
      <c r="W214" s="715"/>
      <c r="X214" s="715"/>
      <c r="Y214" s="716" t="s">
        <v>280</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281</v>
      </c>
      <c r="D215" s="709"/>
      <c r="E215" s="728" t="str">
        <f>MAX(AL204:AL208)</f>
        <v>#DIV/0!</v>
      </c>
      <c r="F215" s="85"/>
      <c r="G215" s="85"/>
      <c r="H215" s="86"/>
      <c r="I215" s="711" t="s">
        <v>277</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282</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283</v>
      </c>
      <c r="D218" s="733"/>
      <c r="E218" s="124"/>
      <c r="F218" s="699"/>
      <c r="G218" s="699"/>
      <c r="H218" s="698"/>
      <c r="I218" s="698"/>
      <c r="J218" s="698"/>
      <c r="K218" s="698"/>
      <c r="L218" s="699"/>
      <c r="M218" s="699"/>
      <c r="N218" s="699"/>
      <c r="O218" s="699"/>
      <c r="P218" s="699"/>
      <c r="Q218" s="734" t="s">
        <v>259</v>
      </c>
      <c r="R218" s="699"/>
      <c r="S218" s="698"/>
      <c r="T218" s="735" t="s">
        <v>284</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285</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286</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287</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288</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289</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220</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222</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223</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290</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232</v>
      </c>
      <c r="D234" s="85"/>
      <c r="E234" s="85"/>
      <c r="F234" s="85"/>
      <c r="G234" s="86"/>
      <c r="H234" s="510" t="s">
        <v>233</v>
      </c>
      <c r="I234" s="85"/>
      <c r="J234" s="85"/>
      <c r="K234" s="85"/>
      <c r="L234" s="85"/>
      <c r="M234" s="85"/>
      <c r="N234" s="86"/>
      <c r="O234" s="510" t="s">
        <v>234</v>
      </c>
      <c r="P234" s="85"/>
      <c r="Q234" s="85"/>
      <c r="R234" s="85"/>
      <c r="S234" s="85"/>
      <c r="T234" s="86"/>
      <c r="U234" s="510" t="s">
        <v>235</v>
      </c>
      <c r="V234" s="86"/>
      <c r="W234" s="510" t="s">
        <v>236</v>
      </c>
      <c r="X234" s="85"/>
      <c r="Y234" s="85"/>
      <c r="Z234" s="85"/>
      <c r="AA234" s="85"/>
      <c r="AB234" s="85"/>
      <c r="AC234" s="85"/>
      <c r="AD234" s="85"/>
      <c r="AE234" s="85"/>
      <c r="AF234" s="85"/>
      <c r="AG234" s="85"/>
      <c r="AH234" s="85"/>
      <c r="AI234" s="86"/>
      <c r="AJ234" s="510" t="s">
        <v>237</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Casa Habitación</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Casa Habitación</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Casa Habitación</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Casa Habitación</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Casa Habitación</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246</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247</v>
      </c>
      <c r="D242" s="85"/>
      <c r="E242" s="86"/>
      <c r="F242" s="746" t="s">
        <v>248</v>
      </c>
      <c r="G242" s="85"/>
      <c r="H242" s="86"/>
      <c r="I242" s="747" t="s">
        <v>249</v>
      </c>
      <c r="J242" s="85"/>
      <c r="K242" s="85"/>
      <c r="L242" s="86"/>
      <c r="M242" s="748" t="s">
        <v>250</v>
      </c>
      <c r="N242" s="85"/>
      <c r="O242" s="86"/>
      <c r="P242" s="746" t="s">
        <v>251</v>
      </c>
      <c r="Q242" s="86"/>
      <c r="R242" s="746" t="s">
        <v>252</v>
      </c>
      <c r="S242" s="85"/>
      <c r="T242" s="86"/>
      <c r="U242" s="749"/>
      <c r="V242" s="750"/>
      <c r="W242" s="747" t="s">
        <v>253</v>
      </c>
      <c r="X242" s="85"/>
      <c r="Y242" s="86"/>
      <c r="Z242" s="747" t="s">
        <v>254</v>
      </c>
      <c r="AA242" s="85"/>
      <c r="AB242" s="85"/>
      <c r="AC242" s="86"/>
      <c r="AD242" s="751" t="s">
        <v>255</v>
      </c>
      <c r="AE242" s="85"/>
      <c r="AF242" s="86"/>
      <c r="AG242" s="752" t="s">
        <v>256</v>
      </c>
      <c r="AH242" s="86"/>
      <c r="AI242" s="509" t="s">
        <v>257</v>
      </c>
      <c r="AJ242" s="85"/>
      <c r="AK242" s="86"/>
      <c r="AL242" s="748" t="s">
        <v>258</v>
      </c>
      <c r="AM242" s="85"/>
      <c r="AN242" s="85"/>
      <c r="AO242" s="86"/>
      <c r="AP242" s="259"/>
      <c r="AQ242" s="31"/>
      <c r="AR242" s="718" t="s">
        <v>279</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104</v>
      </c>
      <c r="F248" s="615" t="s">
        <v>104</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259</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260</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263</v>
      </c>
      <c r="B251" s="632"/>
      <c r="C251" s="633"/>
      <c r="D251" s="633"/>
      <c r="E251" s="633"/>
      <c r="F251" s="633"/>
      <c r="G251" s="633"/>
      <c r="H251" s="633"/>
      <c r="I251" s="633"/>
      <c r="J251" s="547"/>
      <c r="K251" s="34"/>
      <c r="L251" s="634" t="s">
        <v>264</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265</v>
      </c>
      <c r="AW251" s="636" t="s">
        <v>266</v>
      </c>
      <c r="AX251" s="637"/>
      <c r="AY251" s="636" t="s">
        <v>267</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247</v>
      </c>
      <c r="D252" s="85"/>
      <c r="E252" s="86"/>
      <c r="F252" s="746" t="s">
        <v>248</v>
      </c>
      <c r="G252" s="85"/>
      <c r="H252" s="86"/>
      <c r="I252" s="784" t="s">
        <v>250</v>
      </c>
      <c r="J252" s="85"/>
      <c r="K252" s="86"/>
      <c r="L252" s="785" t="s">
        <v>162</v>
      </c>
      <c r="M252" s="85"/>
      <c r="N252" s="785" t="s">
        <v>163</v>
      </c>
      <c r="O252" s="85"/>
      <c r="P252" s="86"/>
      <c r="Q252" s="785" t="s">
        <v>268</v>
      </c>
      <c r="R252" s="85"/>
      <c r="S252" s="86"/>
      <c r="T252" s="785" t="s">
        <v>166</v>
      </c>
      <c r="U252" s="85"/>
      <c r="V252" s="85"/>
      <c r="W252" s="85"/>
      <c r="X252" s="86"/>
      <c r="Y252" s="785" t="s">
        <v>129</v>
      </c>
      <c r="Z252" s="85"/>
      <c r="AA252" s="86"/>
      <c r="AB252" s="785" t="s">
        <v>180</v>
      </c>
      <c r="AC252" s="85"/>
      <c r="AD252" s="86"/>
      <c r="AE252" s="785" t="s">
        <v>167</v>
      </c>
      <c r="AF252" s="85"/>
      <c r="AG252" s="86"/>
      <c r="AH252" s="785" t="s">
        <v>269</v>
      </c>
      <c r="AI252" s="85"/>
      <c r="AJ252" s="85"/>
      <c r="AK252" s="86"/>
      <c r="AL252" s="784" t="s">
        <v>270</v>
      </c>
      <c r="AM252" s="85"/>
      <c r="AN252" s="85"/>
      <c r="AO252" s="86"/>
      <c r="AP252" s="259"/>
      <c r="AQ252" s="31"/>
      <c r="AR252" s="783"/>
      <c r="AS252" s="31"/>
      <c r="AT252" s="786" t="s">
        <v>268</v>
      </c>
      <c r="AU252" s="64" t="s">
        <v>271</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259</v>
      </c>
      <c r="I258" s="692" t="str">
        <f>AVERAGE(I253:I257)</f>
        <v>#DIV/0!</v>
      </c>
      <c r="J258" s="482"/>
      <c r="K258" s="483"/>
      <c r="L258" s="693" t="s">
        <v>272</v>
      </c>
      <c r="M258" s="693"/>
      <c r="N258" s="34"/>
      <c r="O258" s="694" t="s">
        <v>273</v>
      </c>
      <c r="P258" s="467"/>
      <c r="Q258" s="467"/>
      <c r="R258" s="467"/>
      <c r="S258" s="467"/>
      <c r="T258" s="467"/>
      <c r="U258" s="467"/>
      <c r="V258" s="467"/>
      <c r="W258" s="467"/>
      <c r="X258" s="467"/>
      <c r="Y258" s="467"/>
      <c r="Z258" s="467"/>
      <c r="AA258" s="467"/>
      <c r="AB258" s="467"/>
      <c r="AC258" s="467"/>
      <c r="AD258" s="467"/>
      <c r="AE258" s="467"/>
      <c r="AF258" s="467"/>
      <c r="AG258" s="695"/>
      <c r="AH258" s="691" t="s">
        <v>259</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291</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247</v>
      </c>
      <c r="D261" s="85"/>
      <c r="E261" s="86"/>
      <c r="F261" s="509" t="s">
        <v>248</v>
      </c>
      <c r="G261" s="85"/>
      <c r="H261" s="86"/>
      <c r="I261" s="784" t="s">
        <v>250</v>
      </c>
      <c r="J261" s="85"/>
      <c r="K261" s="86"/>
      <c r="L261" s="785" t="s">
        <v>162</v>
      </c>
      <c r="M261" s="86"/>
      <c r="N261" s="813" t="s">
        <v>163</v>
      </c>
      <c r="O261" s="85"/>
      <c r="P261" s="86"/>
      <c r="Q261" s="813" t="s">
        <v>268</v>
      </c>
      <c r="R261" s="85"/>
      <c r="S261" s="86"/>
      <c r="T261" s="814" t="s">
        <v>166</v>
      </c>
      <c r="U261" s="85"/>
      <c r="V261" s="85"/>
      <c r="W261" s="85"/>
      <c r="X261" s="86"/>
      <c r="Y261" s="785" t="s">
        <v>129</v>
      </c>
      <c r="Z261" s="85"/>
      <c r="AA261" s="86"/>
      <c r="AB261" s="813" t="s">
        <v>180</v>
      </c>
      <c r="AC261" s="85"/>
      <c r="AD261" s="86"/>
      <c r="AE261" s="785" t="s">
        <v>167</v>
      </c>
      <c r="AF261" s="85"/>
      <c r="AG261" s="86"/>
      <c r="AH261" s="785" t="s">
        <v>269</v>
      </c>
      <c r="AI261" s="85"/>
      <c r="AJ261" s="85"/>
      <c r="AK261" s="86"/>
      <c r="AL261" s="784" t="s">
        <v>270</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259</v>
      </c>
      <c r="I267" s="692" t="str">
        <f>AVERAGE(I262:I266)</f>
        <v>#DIV/0!</v>
      </c>
      <c r="J267" s="482"/>
      <c r="K267" s="483"/>
      <c r="L267" s="693" t="s">
        <v>272</v>
      </c>
      <c r="M267" s="693"/>
      <c r="N267" s="34"/>
      <c r="O267" s="694" t="s">
        <v>273</v>
      </c>
      <c r="P267" s="467"/>
      <c r="Q267" s="467"/>
      <c r="R267" s="467"/>
      <c r="S267" s="467"/>
      <c r="T267" s="467"/>
      <c r="U267" s="467"/>
      <c r="V267" s="467"/>
      <c r="W267" s="467"/>
      <c r="X267" s="467"/>
      <c r="Y267" s="467"/>
      <c r="Z267" s="467"/>
      <c r="AA267" s="467"/>
      <c r="AB267" s="467"/>
      <c r="AC267" s="467"/>
      <c r="AD267" s="467"/>
      <c r="AE267" s="467"/>
      <c r="AF267" s="467"/>
      <c r="AG267" s="695"/>
      <c r="AH267" s="691" t="s">
        <v>259</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274</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275</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276</v>
      </c>
      <c r="D271" s="817"/>
      <c r="E271" s="818" t="str">
        <f>MIN(AL262:AL266)</f>
        <v>#DIV/0!</v>
      </c>
      <c r="F271" s="85"/>
      <c r="G271" s="85"/>
      <c r="H271" s="86"/>
      <c r="I271" s="819" t="s">
        <v>277</v>
      </c>
      <c r="J271" s="702"/>
      <c r="K271" s="713"/>
      <c r="L271" s="713"/>
      <c r="M271" s="713"/>
      <c r="N271" s="713"/>
      <c r="O271" s="701"/>
      <c r="P271" s="701"/>
      <c r="Q271" s="703"/>
      <c r="R271" s="714"/>
      <c r="S271" s="703"/>
      <c r="T271" s="703"/>
      <c r="U271" s="703"/>
      <c r="V271" s="703"/>
      <c r="W271" s="703"/>
      <c r="X271" s="703"/>
      <c r="Y271" s="820" t="s">
        <v>278</v>
      </c>
      <c r="Z271" s="821" t="str">
        <f>+AL267</f>
        <v>#DIV/0!</v>
      </c>
      <c r="AA271" s="85"/>
      <c r="AB271" s="85"/>
      <c r="AC271" s="85"/>
      <c r="AD271" s="86"/>
      <c r="AE271" s="822" t="s">
        <v>277</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259</v>
      </c>
      <c r="D272" s="817"/>
      <c r="E272" s="818" t="str">
        <f>AL267</f>
        <v>#DIV/0!</v>
      </c>
      <c r="F272" s="85"/>
      <c r="G272" s="85"/>
      <c r="H272" s="86"/>
      <c r="I272" s="819" t="s">
        <v>277</v>
      </c>
      <c r="J272" s="702"/>
      <c r="K272" s="713"/>
      <c r="L272" s="713"/>
      <c r="M272" s="713"/>
      <c r="N272" s="713"/>
      <c r="O272" s="701"/>
      <c r="P272" s="701"/>
      <c r="Q272" s="703"/>
      <c r="R272" s="714"/>
      <c r="S272" s="703"/>
      <c r="T272" s="703"/>
      <c r="U272" s="703"/>
      <c r="V272" s="703"/>
      <c r="W272" s="703"/>
      <c r="X272" s="703"/>
      <c r="Y272" s="820" t="s">
        <v>280</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281</v>
      </c>
      <c r="D273" s="817"/>
      <c r="E273" s="827" t="str">
        <f>MAX(AL262:AL266)</f>
        <v>#DIV/0!</v>
      </c>
      <c r="F273" s="85"/>
      <c r="G273" s="85"/>
      <c r="H273" s="86"/>
      <c r="I273" s="819" t="s">
        <v>277</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292</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293</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283</v>
      </c>
      <c r="D276" s="733"/>
      <c r="E276" s="124"/>
      <c r="F276" s="699"/>
      <c r="G276" s="699"/>
      <c r="H276" s="698"/>
      <c r="I276" s="698"/>
      <c r="J276" s="698"/>
      <c r="K276" s="698"/>
      <c r="L276" s="699"/>
      <c r="M276" s="699"/>
      <c r="N276" s="699"/>
      <c r="O276" s="699"/>
      <c r="P276" s="699"/>
      <c r="Q276" s="699"/>
      <c r="R276" s="699"/>
      <c r="S276" s="698"/>
      <c r="T276" s="832" t="s">
        <v>284</v>
      </c>
      <c r="U276" s="699"/>
      <c r="V276" s="699"/>
      <c r="W276" s="699"/>
      <c r="X276" s="699"/>
      <c r="Y276" s="699"/>
      <c r="Z276" s="699"/>
      <c r="AA276" s="699"/>
      <c r="AB276" s="699"/>
      <c r="AC276" s="34"/>
      <c r="AD276" s="109" t="s">
        <v>259</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285</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286</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287</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288</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289</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220</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222</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223</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294</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
      </c>
      <c r="AB330" s="34"/>
      <c r="AC330" s="839" t="str">
        <f>VLOOKUP("15.jp*g",Fotos!$A$2:$E506,5,FALSE)</f>
        <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
      </c>
      <c r="N344" s="34"/>
      <c r="O344" s="839" t="str">
        <f>VLOOKUP("17.jp*g",Fotos!$A$2:$E506,5,FALSE)</f>
        <v/>
      </c>
      <c r="AB344" s="34"/>
      <c r="AC344" s="839" t="str">
        <f>VLOOKUP("18.jp*g",Fotos!$A$2:$E506,5,FALSE)</f>
        <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295</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296</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297</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298</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299</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300</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301</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297</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298</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302</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299</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303</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304</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305</v>
      </c>
      <c r="AV402" s="873"/>
      <c r="AW402" s="873" t="s">
        <v>306</v>
      </c>
      <c r="AX402" s="873" t="s">
        <v>306</v>
      </c>
      <c r="AY402" s="873"/>
      <c r="AZ402" s="873" t="s">
        <v>307</v>
      </c>
      <c r="BA402" s="874"/>
      <c r="BB402" s="871"/>
      <c r="BC402" s="875" t="s">
        <v>308</v>
      </c>
      <c r="BD402" s="875" t="s">
        <v>309</v>
      </c>
      <c r="BE402" s="875"/>
      <c r="BF402" s="875" t="s">
        <v>310</v>
      </c>
      <c r="BG402" s="875" t="s">
        <v>311</v>
      </c>
      <c r="BH402" s="876"/>
      <c r="BI402" s="877" t="s">
        <v>312</v>
      </c>
      <c r="BJ402" s="877"/>
      <c r="BK402" s="877"/>
      <c r="BL402" s="877" t="s">
        <v>313</v>
      </c>
      <c r="BM402" s="877"/>
      <c r="BN402" s="877"/>
      <c r="BO402" s="877"/>
      <c r="BP402" s="877" t="s">
        <v>314</v>
      </c>
      <c r="BQ402" s="877"/>
      <c r="BR402" s="877"/>
      <c r="BS402" s="877" t="s">
        <v>315</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316</v>
      </c>
      <c r="AV403" s="881"/>
      <c r="AW403" s="881" t="s">
        <v>317</v>
      </c>
      <c r="AX403" s="881" t="s">
        <v>318</v>
      </c>
      <c r="AY403" s="881"/>
      <c r="AZ403" s="881" t="s">
        <v>319</v>
      </c>
      <c r="BA403" s="882" t="s">
        <v>320</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321</v>
      </c>
      <c r="AV404" s="887"/>
      <c r="AW404" s="887" t="s">
        <v>322</v>
      </c>
      <c r="AX404" s="887" t="s">
        <v>323</v>
      </c>
      <c r="AY404" s="887"/>
      <c r="AZ404" s="887" t="s">
        <v>324</v>
      </c>
      <c r="BA404" s="888" t="s">
        <v>325</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326</v>
      </c>
      <c r="AV405" s="887"/>
      <c r="AW405" s="887" t="s">
        <v>327</v>
      </c>
      <c r="AX405" s="887" t="s">
        <v>328</v>
      </c>
      <c r="AY405" s="887"/>
      <c r="AZ405" s="887" t="s">
        <v>329</v>
      </c>
      <c r="BA405" s="888" t="s">
        <v>330</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331</v>
      </c>
      <c r="AV406" s="887"/>
      <c r="AW406" s="887" t="s">
        <v>332</v>
      </c>
      <c r="AX406" s="887" t="s">
        <v>333</v>
      </c>
      <c r="AY406" s="887"/>
      <c r="AZ406" s="887" t="s">
        <v>334</v>
      </c>
      <c r="BA406" s="888" t="s">
        <v>335</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336</v>
      </c>
      <c r="AV407" s="887"/>
      <c r="AW407" s="887" t="s">
        <v>337</v>
      </c>
      <c r="AX407" s="887" t="s">
        <v>338</v>
      </c>
      <c r="AY407" s="887"/>
      <c r="AZ407" s="887" t="s">
        <v>339</v>
      </c>
      <c r="BA407" s="888" t="s">
        <v>340</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341</v>
      </c>
      <c r="AV408" s="887"/>
      <c r="AW408" s="887" t="s">
        <v>342</v>
      </c>
      <c r="AX408" s="887" t="s">
        <v>343</v>
      </c>
      <c r="AY408" s="887"/>
      <c r="AZ408" s="887" t="s">
        <v>344</v>
      </c>
      <c r="BA408" s="888" t="s">
        <v>345</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346</v>
      </c>
      <c r="AV409" s="887"/>
      <c r="AW409" s="887" t="s">
        <v>347</v>
      </c>
      <c r="AX409" s="887" t="s">
        <v>343</v>
      </c>
      <c r="AY409" s="887"/>
      <c r="AZ409" s="887" t="s">
        <v>348</v>
      </c>
      <c r="BA409" s="888" t="s">
        <v>349</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350</v>
      </c>
      <c r="AV410" s="887"/>
      <c r="AW410" s="887" t="s">
        <v>351</v>
      </c>
      <c r="AX410" s="887" t="s">
        <v>343</v>
      </c>
      <c r="AY410" s="887"/>
      <c r="AZ410" s="887" t="s">
        <v>352</v>
      </c>
      <c r="BA410" s="888" t="s">
        <v>353</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354</v>
      </c>
      <c r="AV411" s="887"/>
      <c r="AW411" s="887" t="s">
        <v>355</v>
      </c>
      <c r="AX411" s="887" t="s">
        <v>343</v>
      </c>
      <c r="AY411" s="887"/>
      <c r="AZ411" s="887" t="s">
        <v>356</v>
      </c>
      <c r="BA411" s="888" t="s">
        <v>357</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104</v>
      </c>
      <c r="AV412" s="891"/>
      <c r="AW412" s="891" t="s">
        <v>104</v>
      </c>
      <c r="AX412" s="891" t="s">
        <v>343</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358</v>
      </c>
      <c r="AV414" s="887"/>
      <c r="AW414" s="887" t="s">
        <v>359</v>
      </c>
      <c r="AX414" s="887" t="s">
        <v>360</v>
      </c>
      <c r="AY414" s="887"/>
      <c r="AZ414" s="887" t="s">
        <v>361</v>
      </c>
      <c r="BA414" s="887" t="s">
        <v>362</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358</v>
      </c>
      <c r="AV415" s="887"/>
      <c r="AW415" s="887" t="s">
        <v>363</v>
      </c>
      <c r="AX415" s="887" t="str">
        <f>IF(AND(AU395&gt;0,AW395&lt;2),AZ415,IF(AND(AU395=1,AW395&lt;6),AZ415,""))</f>
        <v>#DIV/0!</v>
      </c>
      <c r="AY415" s="887"/>
      <c r="AZ415" s="887" t="s">
        <v>364</v>
      </c>
      <c r="BA415" s="887" t="str">
        <f>IF(AND(AW395&gt;0,AU395&gt;2),BA414,"")</f>
        <v>#DIV/0!</v>
      </c>
      <c r="BB415" s="871"/>
      <c r="BC415" s="893" t="s">
        <v>365</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366</v>
      </c>
      <c r="B1" s="899" t="s">
        <v>367</v>
      </c>
      <c r="C1" s="900" t="s">
        <v>368</v>
      </c>
    </row>
    <row r="2">
      <c r="A2" s="9" t="str">
        <f>IFERROR(__xludf.DUMMYFUNCTION("TRANSPOSE(QUERY(IMPORTRANGE(""1aF3RXZCNy_CKBDFezcCT7265looJ5_hSeKa4_qe8HZA"",""Visitas!A:EW""),""SELECT * WHERE Col3 ='450814fd'"",1))"),"ID")</f>
        <v>ID</v>
      </c>
      <c r="B2" s="901" t="str">
        <f>IFERROR(__xludf.DUMMYFUNCTION("""COMPUTED_VALUE"""),"ba277a4d")</f>
        <v>ba277a4d</v>
      </c>
      <c r="C2" s="902" t="s">
        <v>369</v>
      </c>
    </row>
    <row r="3">
      <c r="A3" s="9" t="str">
        <f>IFERROR(__xludf.DUMMYFUNCTION("""COMPUTED_VALUE"""),"Cliente")</f>
        <v>Cliente</v>
      </c>
      <c r="B3" s="42" t="str">
        <f>IFERROR(__xludf.DUMMYFUNCTION("""COMPUTED_VALUE"""),"ba44bb30")</f>
        <v>ba44bb30</v>
      </c>
      <c r="C3" s="903" t="s">
        <v>370</v>
      </c>
    </row>
    <row r="4">
      <c r="A4" s="9" t="str">
        <f>IFERROR(__xludf.DUMMYFUNCTION("""COMPUTED_VALUE"""),"Avaluo")</f>
        <v>Avaluo</v>
      </c>
      <c r="B4" s="1" t="str">
        <f>IFERROR(__xludf.DUMMYFUNCTION("""COMPUTED_VALUE"""),"450814fd")</f>
        <v>450814fd</v>
      </c>
      <c r="C4" s="903" t="s">
        <v>371</v>
      </c>
    </row>
    <row r="5">
      <c r="A5" s="9" t="str">
        <f>IFERROR(__xludf.DUMMYFUNCTION("""COMPUTED_VALUE"""),"Fecha")</f>
        <v>Fecha</v>
      </c>
      <c r="B5" s="904">
        <f>IFERROR(__xludf.DUMMYFUNCTION("""COMPUTED_VALUE"""),45975.0)</f>
        <v>45975</v>
      </c>
      <c r="C5" s="903" t="s">
        <v>69</v>
      </c>
    </row>
    <row r="6">
      <c r="A6" s="9" t="str">
        <f>IFERROR(__xludf.DUMMYFUNCTION("""COMPUTED_VALUE"""),"Visitador")</f>
        <v>Visitador</v>
      </c>
      <c r="B6" s="42" t="str">
        <f>IFERROR(__xludf.DUMMYFUNCTION("""COMPUTED_VALUE"""),"2c214683")</f>
        <v>2c214683</v>
      </c>
      <c r="C6" s="903" t="s">
        <v>372</v>
      </c>
    </row>
    <row r="7">
      <c r="A7" s="9" t="str">
        <f>IFERROR(__xludf.DUMMYFUNCTION("""COMPUTED_VALUE"""),"Tipo de Avaluo")</f>
        <v>Tipo de Avaluo</v>
      </c>
      <c r="B7" s="42" t="str">
        <f>IFERROR(__xludf.DUMMYFUNCTION("""COMPUTED_VALUE"""),"OPI")</f>
        <v>OPI</v>
      </c>
      <c r="C7" s="903" t="s">
        <v>373</v>
      </c>
    </row>
    <row r="8">
      <c r="A8" s="9" t="str">
        <f>IFERROR(__xludf.DUMMYFUNCTION("""COMPUTED_VALUE"""),"SECCIÓN CARACTERÍSTICAS URBANAS")</f>
        <v>SECCIÓN CARACTERÍSTICAS URBANAS</v>
      </c>
      <c r="B8" s="42"/>
      <c r="C8" s="903" t="s">
        <v>374</v>
      </c>
    </row>
    <row r="9">
      <c r="A9" s="9" t="str">
        <f>IFERROR(__xludf.DUMMYFUNCTION("""COMPUTED_VALUE"""),"Direccion")</f>
        <v>Direccion</v>
      </c>
      <c r="B9" s="905" t="str">
        <f>IFERROR(__xludf.DUMMYFUNCTION("""COMPUTED_VALUE"""),"Pascal 2164 Colonia San Elias Guadalajara Jalisco 44240")</f>
        <v>Pascal 2164 Colonia San Elias Guadalajara Jalisco 44240</v>
      </c>
      <c r="C9" s="903" t="s">
        <v>375</v>
      </c>
    </row>
    <row r="10">
      <c r="A10" s="9" t="str">
        <f>IFERROR(__xludf.DUMMYFUNCTION("""COMPUTED_VALUE"""),"Ubicacion GPS")</f>
        <v>Ubicacion GPS</v>
      </c>
      <c r="B10" s="10"/>
      <c r="C10" s="903" t="s">
        <v>376</v>
      </c>
    </row>
    <row r="11">
      <c r="A11" s="9" t="str">
        <f>IFERROR(__xludf.DUMMYFUNCTION("""COMPUTED_VALUE"""),"Referencia Proximidad Urbana")</f>
        <v>Referencia Proximidad Urbana</v>
      </c>
      <c r="B11" s="1" t="str">
        <f>IFERROR(__xludf.DUMMYFUNCTION("""COMPUTED_VALUE"""),"Intermedia")</f>
        <v>Intermedia</v>
      </c>
      <c r="C11" s="903" t="s">
        <v>377</v>
      </c>
    </row>
    <row r="12">
      <c r="A12" s="9" t="str">
        <f>IFERROR(__xludf.DUMMYFUNCTION("""COMPUTED_VALUE"""),"Nivel de Infraestructura")</f>
        <v>Nivel de Infraestructura</v>
      </c>
      <c r="B12" s="1"/>
      <c r="C12" s="903" t="s">
        <v>378</v>
      </c>
    </row>
    <row r="13">
      <c r="A13" s="9" t="str">
        <f>IFERROR(__xludf.DUMMYFUNCTION("""COMPUTED_VALUE"""),"Agua Potable")</f>
        <v>Agua Potable</v>
      </c>
      <c r="B13" s="42"/>
      <c r="C13" s="903" t="s">
        <v>379</v>
      </c>
    </row>
    <row r="14">
      <c r="A14" s="9" t="str">
        <f>IFERROR(__xludf.DUMMYFUNCTION("""COMPUTED_VALUE"""),"Drenaje")</f>
        <v>Drenaje</v>
      </c>
      <c r="B14" s="42" t="str">
        <f>IFERROR(__xludf.DUMMYFUNCTION("""COMPUTED_VALUE"""),"Entubado")</f>
        <v>Entubado</v>
      </c>
      <c r="C14" s="903" t="s">
        <v>380</v>
      </c>
    </row>
    <row r="15">
      <c r="A15" s="9" t="str">
        <f>IFERROR(__xludf.DUMMYFUNCTION("""COMPUTED_VALUE"""),"Electrificación")</f>
        <v>Electrificación</v>
      </c>
      <c r="B15" s="1" t="str">
        <f>IFERROR(__xludf.DUMMYFUNCTION("""COMPUTED_VALUE"""),"Con Cableado Aereo")</f>
        <v>Con Cableado Aereo</v>
      </c>
      <c r="C15" s="903" t="s">
        <v>381</v>
      </c>
    </row>
    <row r="16">
      <c r="A16" s="9" t="str">
        <f>IFERROR(__xludf.DUMMYFUNCTION("""COMPUTED_VALUE"""),"Alumbrado Publico")</f>
        <v>Alumbrado Publico</v>
      </c>
      <c r="B16" s="42" t="str">
        <f>IFERROR(__xludf.DUMMYFUNCTION("""COMPUTED_VALUE"""),"Con Cableado Aereo")</f>
        <v>Con Cableado Aereo</v>
      </c>
      <c r="C16" s="903" t="s">
        <v>382</v>
      </c>
    </row>
    <row r="17">
      <c r="A17" s="9" t="str">
        <f>IFERROR(__xludf.DUMMYFUNCTION("""COMPUTED_VALUE"""),"Vialidades")</f>
        <v>Vialidades</v>
      </c>
      <c r="B17" s="42" t="str">
        <f>IFERROR(__xludf.DUMMYFUNCTION("""COMPUTED_VALUE"""),"Asfalto")</f>
        <v>Asfalto</v>
      </c>
      <c r="C17" s="903" t="s">
        <v>383</v>
      </c>
    </row>
    <row r="18">
      <c r="A18" s="9" t="str">
        <f>IFERROR(__xludf.DUMMYFUNCTION("""COMPUTED_VALUE"""),"Señalización")</f>
        <v>Señalización</v>
      </c>
      <c r="B18" s="42" t="str">
        <f>IFERROR(__xludf.DUMMYFUNCTION("""COMPUTED_VALUE"""),"Existe")</f>
        <v>Existe</v>
      </c>
      <c r="C18" s="903" t="s">
        <v>384</v>
      </c>
    </row>
    <row r="19">
      <c r="A19" s="9" t="str">
        <f>IFERROR(__xludf.DUMMYFUNCTION("""COMPUTED_VALUE"""),"Transporte publico")</f>
        <v>Transporte publico</v>
      </c>
      <c r="B19" s="42" t="str">
        <f>IFERROR(__xludf.DUMMYFUNCTION("""COMPUTED_VALUE"""),"Urbano")</f>
        <v>Urbano</v>
      </c>
      <c r="C19" s="903" t="s">
        <v>385</v>
      </c>
    </row>
    <row r="20">
      <c r="A20" s="9" t="str">
        <f>IFERROR(__xludf.DUMMYFUNCTION("""COMPUTED_VALUE"""),"Clasificacion de la zona")</f>
        <v>Clasificacion de la zona</v>
      </c>
      <c r="B20" s="42"/>
      <c r="C20" s="903" t="s">
        <v>386</v>
      </c>
    </row>
    <row r="21">
      <c r="A21" s="9" t="str">
        <f>IFERROR(__xludf.DUMMYFUNCTION("""COMPUTED_VALUE"""),"Nivel de Equipamiento")</f>
        <v>Nivel de Equipamiento</v>
      </c>
      <c r="B21" s="42"/>
      <c r="C21" s="903" t="s">
        <v>387</v>
      </c>
    </row>
    <row r="22">
      <c r="A22" s="9" t="str">
        <f>IFERROR(__xludf.DUMMYFUNCTION("""COMPUTED_VALUE"""),"Construcciones Predominantes")</f>
        <v>Construcciones Predominantes</v>
      </c>
      <c r="B22" s="42" t="str">
        <f>IFERROR(__xludf.DUMMYFUNCTION("""COMPUTED_VALUE"""),"Casas Habitación")</f>
        <v>Casas Habitación</v>
      </c>
      <c r="C22" s="903" t="s">
        <v>388</v>
      </c>
    </row>
    <row r="23">
      <c r="A23" s="9" t="str">
        <f>IFERROR(__xludf.DUMMYFUNCTION("""COMPUTED_VALUE"""),"Calidad de las Construcciones")</f>
        <v>Calidad de las Construcciones</v>
      </c>
      <c r="B23" s="42"/>
      <c r="C23" s="903" t="s">
        <v>389</v>
      </c>
    </row>
    <row r="24">
      <c r="A24" s="9" t="str">
        <f>IFERROR(__xludf.DUMMYFUNCTION("""COMPUTED_VALUE"""),"Recoleccion de Basura")</f>
        <v>Recoleccion de Basura</v>
      </c>
      <c r="B24" s="42" t="str">
        <f>IFERROR(__xludf.DUMMYFUNCTION("""COMPUTED_VALUE"""),"Municipal")</f>
        <v>Municipal</v>
      </c>
      <c r="C24" s="903" t="s">
        <v>390</v>
      </c>
    </row>
    <row r="25">
      <c r="A25" s="9" t="str">
        <f>IFERROR(__xludf.DUMMYFUNCTION("""COMPUTED_VALUE"""),"Nivel socioeconómico")</f>
        <v>Nivel socioeconómico</v>
      </c>
      <c r="B25" s="42" t="str">
        <f>IFERROR(__xludf.DUMMYFUNCTION("""COMPUTED_VALUE"""),"Medio-Medio")</f>
        <v>Medio-Medio</v>
      </c>
      <c r="C25" s="903" t="s">
        <v>391</v>
      </c>
    </row>
    <row r="26">
      <c r="A26" s="9" t="str">
        <f>IFERROR(__xludf.DUMMYFUNCTION("""COMPUTED_VALUE"""),"Indice de Saturación en la zona")</f>
        <v>Indice de Saturación en la zona</v>
      </c>
      <c r="B26" s="42"/>
      <c r="C26" s="903" t="s">
        <v>392</v>
      </c>
    </row>
    <row r="27">
      <c r="A27" s="9" t="str">
        <f>IFERROR(__xludf.DUMMYFUNCTION("""COMPUTED_VALUE"""),"Densidaad de Población")</f>
        <v>Densidaad de Población</v>
      </c>
      <c r="B27" s="42"/>
      <c r="C27" s="903" t="s">
        <v>393</v>
      </c>
    </row>
    <row r="28">
      <c r="A28" s="9" t="str">
        <f>IFERROR(__xludf.DUMMYFUNCTION("""COMPUTED_VALUE"""),"Vias de Acceso")</f>
        <v>Vias de Acceso</v>
      </c>
      <c r="B28" s="42"/>
      <c r="C28" s="903" t="s">
        <v>394</v>
      </c>
    </row>
    <row r="29">
      <c r="A29" s="9" t="str">
        <f>IFERROR(__xludf.DUMMYFUNCTION("""COMPUTED_VALUE"""),"SECCIÓN GENERALES")</f>
        <v>SECCIÓN GENERALES</v>
      </c>
      <c r="B29" s="42"/>
      <c r="C29" s="903" t="s">
        <v>395</v>
      </c>
    </row>
    <row r="30">
      <c r="A30" s="9" t="str">
        <f>IFERROR(__xludf.DUMMYFUNCTION("""COMPUTED_VALUE"""),"Clave catastral")</f>
        <v>Clave catastral</v>
      </c>
      <c r="B30" s="42"/>
      <c r="C30" s="903" t="s">
        <v>396</v>
      </c>
    </row>
    <row r="31">
      <c r="A31" s="9" t="str">
        <f>IFERROR(__xludf.DUMMYFUNCTION("""COMPUTED_VALUE"""),"Num Predial")</f>
        <v>Num Predial</v>
      </c>
      <c r="B31" s="42"/>
      <c r="C31" s="903" t="s">
        <v>397</v>
      </c>
    </row>
    <row r="32">
      <c r="A32" s="9" t="str">
        <f>IFERROR(__xludf.DUMMYFUNCTION("""COMPUTED_VALUE"""),"Tipo doc. referencia legal")</f>
        <v>Tipo doc. referencia legal</v>
      </c>
      <c r="B32" s="42"/>
      <c r="C32" s="903" t="s">
        <v>398</v>
      </c>
    </row>
    <row r="33">
      <c r="A33" s="9" t="str">
        <f>IFERROR(__xludf.DUMMYFUNCTION("""COMPUTED_VALUE"""),"Num Escritura")</f>
        <v>Num Escritura</v>
      </c>
      <c r="B33" s="42"/>
      <c r="C33" s="903" t="s">
        <v>399</v>
      </c>
    </row>
    <row r="34">
      <c r="A34" s="9" t="str">
        <f>IFERROR(__xludf.DUMMYFUNCTION("""COMPUTED_VALUE"""),"Notaria")</f>
        <v>Notaria</v>
      </c>
      <c r="B34" s="42"/>
      <c r="C34" s="903" t="s">
        <v>400</v>
      </c>
    </row>
    <row r="35">
      <c r="A35" s="9" t="str">
        <f>IFERROR(__xludf.DUMMYFUNCTION("""COMPUTED_VALUE"""),"Municipio")</f>
        <v>Municipio</v>
      </c>
      <c r="B35" s="42"/>
      <c r="C35" s="903" t="s">
        <v>74</v>
      </c>
    </row>
    <row r="36">
      <c r="A36" s="9" t="str">
        <f>IFERROR(__xludf.DUMMYFUNCTION("""COMPUTED_VALUE"""),"Regimen de Propiedad")</f>
        <v>Regimen de Propiedad</v>
      </c>
      <c r="B36" s="42"/>
      <c r="C36" s="903" t="s">
        <v>401</v>
      </c>
    </row>
    <row r="37">
      <c r="A37" s="9" t="str">
        <f>IFERROR(__xludf.DUMMYFUNCTION("""COMPUTED_VALUE"""),"Nombre Lic")</f>
        <v>Nombre Lic</v>
      </c>
      <c r="B37" s="42"/>
      <c r="C37" s="903" t="s">
        <v>402</v>
      </c>
    </row>
    <row r="38">
      <c r="A38" s="9" t="str">
        <f>IFERROR(__xludf.DUMMYFUNCTION("""COMPUTED_VALUE"""),"Año de Construcción")</f>
        <v>Año de Construcción</v>
      </c>
      <c r="B38" s="42"/>
      <c r="C38" s="903" t="s">
        <v>403</v>
      </c>
    </row>
    <row r="39">
      <c r="A39" s="9" t="str">
        <f>IFERROR(__xludf.DUMMYFUNCTION("""COMPUTED_VALUE"""),"Edad de las construcciones")</f>
        <v>Edad de las construcciones</v>
      </c>
      <c r="B39" s="42"/>
      <c r="C39" s="903" t="s">
        <v>404</v>
      </c>
    </row>
    <row r="40">
      <c r="A40" s="9" t="str">
        <f>IFERROR(__xludf.DUMMYFUNCTION("""COMPUTED_VALUE"""),"Año Remodelación")</f>
        <v>Año Remodelación</v>
      </c>
      <c r="B40" s="42">
        <f>IFERROR(__xludf.DUMMYFUNCTION("""COMPUTED_VALUE"""),2022.0)</f>
        <v>2022</v>
      </c>
      <c r="C40" s="903" t="s">
        <v>405</v>
      </c>
    </row>
    <row r="41">
      <c r="A41" s="9" t="str">
        <f>IFERROR(__xludf.DUMMYFUNCTION("""COMPUTED_VALUE"""),"Edad de las Remodelaciones")</f>
        <v>Edad de las Remodelaciones</v>
      </c>
      <c r="B41" s="42">
        <f>IFERROR(__xludf.DUMMYFUNCTION("""COMPUTED_VALUE"""),3.0)</f>
        <v>3</v>
      </c>
      <c r="C41" s="903" t="s">
        <v>406</v>
      </c>
    </row>
    <row r="42">
      <c r="A42" s="9" t="str">
        <f>IFERROR(__xludf.DUMMYFUNCTION("""COMPUTED_VALUE"""),"Nivel de Ubicación")</f>
        <v>Nivel de Ubicación</v>
      </c>
      <c r="B42" s="42"/>
      <c r="C42" s="903" t="s">
        <v>407</v>
      </c>
    </row>
    <row r="43">
      <c r="A43" s="9" t="str">
        <f>IFERROR(__xludf.DUMMYFUNCTION("""COMPUTED_VALUE"""),"Num de niveles")</f>
        <v>Num de niveles</v>
      </c>
      <c r="B43" s="42">
        <f>IFERROR(__xludf.DUMMYFUNCTION("""COMPUTED_VALUE"""),1.0)</f>
        <v>1</v>
      </c>
      <c r="C43" s="903" t="s">
        <v>408</v>
      </c>
    </row>
    <row r="44">
      <c r="A44" s="9" t="str">
        <f>IFERROR(__xludf.DUMMYFUNCTION("""COMPUTED_VALUE"""),"Tipo de propiedad")</f>
        <v>Tipo de propiedad</v>
      </c>
      <c r="B44" s="42" t="str">
        <f>IFERROR(__xludf.DUMMYFUNCTION("""COMPUTED_VALUE"""),"Casa Habitación")</f>
        <v>Casa Habitación</v>
      </c>
      <c r="C44" s="903" t="s">
        <v>409</v>
      </c>
    </row>
    <row r="45">
      <c r="A45" s="9" t="str">
        <f>IFERROR(__xludf.DUMMYFUNCTION("""COMPUTED_VALUE"""),"Unidades Rentables")</f>
        <v>Unidades Rentables</v>
      </c>
      <c r="B45" s="42">
        <f>IFERROR(__xludf.DUMMYFUNCTION("""COMPUTED_VALUE"""),1.0)</f>
        <v>1</v>
      </c>
      <c r="C45" s="903" t="s">
        <v>410</v>
      </c>
    </row>
    <row r="46">
      <c r="A46" s="9" t="str">
        <f>IFERROR(__xludf.DUMMYFUNCTION("""COMPUTED_VALUE"""),"Estado de Conservación")</f>
        <v>Estado de Conservación</v>
      </c>
      <c r="B46" s="42" t="str">
        <f>IFERROR(__xludf.DUMMYFUNCTION("""COMPUTED_VALUE"""),"Bueno")</f>
        <v>Bueno</v>
      </c>
      <c r="C46" s="903" t="s">
        <v>411</v>
      </c>
    </row>
    <row r="47">
      <c r="A47" s="9" t="str">
        <f>IFERROR(__xludf.DUMMYFUNCTION("""COMPUTED_VALUE"""),"Uso actual")</f>
        <v>Uso actual</v>
      </c>
      <c r="B47" s="42"/>
      <c r="C47" s="903" t="s">
        <v>412</v>
      </c>
    </row>
    <row r="48">
      <c r="A48" s="9" t="str">
        <f>IFERROR(__xludf.DUMMYFUNCTION("""COMPUTED_VALUE"""),"Clasificación de las Construcciones")</f>
        <v>Clasificación de las Construcciones</v>
      </c>
      <c r="B48" s="42"/>
      <c r="C48" s="903" t="s">
        <v>413</v>
      </c>
    </row>
    <row r="49">
      <c r="A49" s="9" t="str">
        <f>IFERROR(__xludf.DUMMYFUNCTION("""COMPUTED_VALUE"""),"Avance de las construcciones")</f>
        <v>Avance de las construcciones</v>
      </c>
      <c r="B49" s="906"/>
      <c r="C49" s="903" t="s">
        <v>414</v>
      </c>
    </row>
    <row r="50">
      <c r="A50" s="9" t="str">
        <f>IFERROR(__xludf.DUMMYFUNCTION("""COMPUTED_VALUE"""),"SUBSECCIÓN EQUIPAMIENTO")</f>
        <v>SUBSECCIÓN EQUIPAMIENTO</v>
      </c>
      <c r="B50" s="42"/>
      <c r="C50" s="903" t="s">
        <v>415</v>
      </c>
    </row>
    <row r="51">
      <c r="A51" s="9" t="str">
        <f>IFERROR(__xludf.DUMMYFUNCTION("""COMPUTED_VALUE"""),"Guarderia")</f>
        <v>Guarderia</v>
      </c>
      <c r="B51" s="42"/>
      <c r="C51" s="903" t="s">
        <v>416</v>
      </c>
    </row>
    <row r="52">
      <c r="A52" s="9" t="str">
        <f>IFERROR(__xludf.DUMMYFUNCTION("""COMPUTED_VALUE"""),"Escuelas Primarias")</f>
        <v>Escuelas Primarias</v>
      </c>
      <c r="B52" s="42"/>
      <c r="C52" s="903" t="s">
        <v>417</v>
      </c>
    </row>
    <row r="53">
      <c r="A53" s="9" t="str">
        <f>IFERROR(__xludf.DUMMYFUNCTION("""COMPUTED_VALUE"""),"Escuelas Secundarias")</f>
        <v>Escuelas Secundarias</v>
      </c>
      <c r="B53" s="42"/>
      <c r="C53" s="903" t="s">
        <v>418</v>
      </c>
    </row>
    <row r="54">
      <c r="A54" s="9" t="str">
        <f>IFERROR(__xludf.DUMMYFUNCTION("""COMPUTED_VALUE"""),"Escuelas Preparatorias")</f>
        <v>Escuelas Preparatorias</v>
      </c>
      <c r="B54" s="42"/>
      <c r="C54" s="903" t="s">
        <v>419</v>
      </c>
    </row>
    <row r="55">
      <c r="A55" s="9" t="str">
        <f>IFERROR(__xludf.DUMMYFUNCTION("""COMPUTED_VALUE"""),"Escuelas Universitarias")</f>
        <v>Escuelas Universitarias</v>
      </c>
      <c r="B55" s="42"/>
      <c r="C55" s="903" t="s">
        <v>420</v>
      </c>
    </row>
    <row r="56">
      <c r="A56" s="9" t="str">
        <f>IFERROR(__xludf.DUMMYFUNCTION("""COMPUTED_VALUE"""),"Otras escuelas")</f>
        <v>Otras escuelas</v>
      </c>
      <c r="B56" s="42"/>
      <c r="C56" s="903" t="s">
        <v>421</v>
      </c>
    </row>
    <row r="57">
      <c r="A57" s="9" t="str">
        <f>IFERROR(__xludf.DUMMYFUNCTION("""COMPUTED_VALUE"""),"Distancia Transporte publico")</f>
        <v>Distancia Transporte publico</v>
      </c>
      <c r="B57" s="42"/>
      <c r="C57" s="903" t="s">
        <v>422</v>
      </c>
    </row>
    <row r="58">
      <c r="A58" s="9" t="str">
        <f>IFERROR(__xludf.DUMMYFUNCTION("""COMPUTED_VALUE"""),"Iglesias")</f>
        <v>Iglesias</v>
      </c>
      <c r="B58" s="42"/>
      <c r="C58" s="903" t="s">
        <v>423</v>
      </c>
    </row>
    <row r="59">
      <c r="A59" s="9" t="str">
        <f>IFERROR(__xludf.DUMMYFUNCTION("""COMPUTED_VALUE"""),"Parques")</f>
        <v>Parques</v>
      </c>
      <c r="B59" s="42"/>
      <c r="C59" s="903" t="s">
        <v>424</v>
      </c>
    </row>
    <row r="60">
      <c r="A60" s="9" t="str">
        <f>IFERROR(__xludf.DUMMYFUNCTION("""COMPUTED_VALUE"""),"Hospitales")</f>
        <v>Hospitales</v>
      </c>
      <c r="B60" s="42"/>
      <c r="C60" s="903" t="s">
        <v>425</v>
      </c>
    </row>
    <row r="61">
      <c r="A61" s="9" t="str">
        <f>IFERROR(__xludf.DUMMYFUNCTION("""COMPUTED_VALUE"""),"Clinicas medicas")</f>
        <v>Clinicas medicas</v>
      </c>
      <c r="B61" s="42"/>
      <c r="C61" s="903" t="s">
        <v>426</v>
      </c>
    </row>
    <row r="62">
      <c r="A62" s="9" t="str">
        <f>IFERROR(__xludf.DUMMYFUNCTION("""COMPUTED_VALUE"""),"Mercado")</f>
        <v>Mercado</v>
      </c>
      <c r="B62" s="42"/>
      <c r="C62" s="903" t="s">
        <v>427</v>
      </c>
    </row>
    <row r="63">
      <c r="A63" s="9" t="str">
        <f>IFERROR(__xludf.DUMMYFUNCTION("""COMPUTED_VALUE"""),"Supermercado")</f>
        <v>Supermercado</v>
      </c>
      <c r="B63" s="42"/>
      <c r="C63" s="903" t="s">
        <v>428</v>
      </c>
    </row>
    <row r="64">
      <c r="A64" s="9" t="str">
        <f>IFERROR(__xludf.DUMMYFUNCTION("""COMPUTED_VALUE"""),"Tipo de calle")</f>
        <v>Tipo de calle</v>
      </c>
      <c r="B64" s="42" t="str">
        <f>IFERROR(__xludf.DUMMYFUNCTION("""COMPUTED_VALUE"""),"Calle Local")</f>
        <v>Calle Local</v>
      </c>
      <c r="C64" s="903" t="s">
        <v>429</v>
      </c>
    </row>
    <row r="65">
      <c r="A65" s="9" t="str">
        <f>IFERROR(__xludf.DUMMYFUNCTION("""COMPUTED_VALUE"""),"SUBSECCIÓN TERRENO")</f>
        <v>SUBSECCIÓN TERRENO</v>
      </c>
      <c r="B65" s="42"/>
      <c r="C65" s="903" t="s">
        <v>430</v>
      </c>
    </row>
    <row r="66">
      <c r="A66" s="9" t="str">
        <f>IFERROR(__xludf.DUMMYFUNCTION("""COMPUTED_VALUE"""),"Vistas")</f>
        <v>Vistas</v>
      </c>
      <c r="B66" s="42" t="str">
        <f>IFERROR(__xludf.DUMMYFUNCTION("""COMPUTED_VALUE"""),"Paisaje Urbano")</f>
        <v>Paisaje Urbano</v>
      </c>
      <c r="C66" s="903" t="s">
        <v>431</v>
      </c>
    </row>
    <row r="67">
      <c r="A67" s="9" t="str">
        <f>IFERROR(__xludf.DUMMYFUNCTION("""COMPUTED_VALUE"""),"Topografía")</f>
        <v>Topografía</v>
      </c>
      <c r="B67" s="42" t="str">
        <f>IFERROR(__xludf.DUMMYFUNCTION("""COMPUTED_VALUE"""),"Plana")</f>
        <v>Plana</v>
      </c>
      <c r="C67" s="903" t="s">
        <v>432</v>
      </c>
    </row>
    <row r="68">
      <c r="A68" s="9" t="str">
        <f>IFERROR(__xludf.DUMMYFUNCTION("""COMPUTED_VALUE"""),"Forma del Terreno")</f>
        <v>Forma del Terreno</v>
      </c>
      <c r="B68" s="42" t="str">
        <f>IFERROR(__xludf.DUMMYFUNCTION("""COMPUTED_VALUE"""),"Regular")</f>
        <v>Regular</v>
      </c>
      <c r="C68" s="903" t="s">
        <v>433</v>
      </c>
    </row>
    <row r="69">
      <c r="A69" s="9" t="str">
        <f>IFERROR(__xludf.DUMMYFUNCTION("""COMPUTED_VALUE"""),"Lados de terreno")</f>
        <v>Lados de terreno</v>
      </c>
      <c r="B69" s="42">
        <f>IFERROR(__xludf.DUMMYFUNCTION("""COMPUTED_VALUE"""),4.0)</f>
        <v>4</v>
      </c>
      <c r="C69" s="903" t="s">
        <v>434</v>
      </c>
    </row>
    <row r="70">
      <c r="A70" s="9" t="str">
        <f>IFERROR(__xludf.DUMMYFUNCTION("""COMPUTED_VALUE"""),"Frentes a calle")</f>
        <v>Frentes a calle</v>
      </c>
      <c r="B70" s="42">
        <f>IFERROR(__xludf.DUMMYFUNCTION("""COMPUTED_VALUE"""),1.0)</f>
        <v>1</v>
      </c>
      <c r="C70" s="903" t="s">
        <v>435</v>
      </c>
    </row>
    <row r="71">
      <c r="A71" s="9" t="str">
        <f>IFERROR(__xludf.DUMMYFUNCTION("""COMPUTED_VALUE"""),"Ubicación en Manzana")</f>
        <v>Ubicación en Manzana</v>
      </c>
      <c r="B71" s="42" t="str">
        <f>IFERROR(__xludf.DUMMYFUNCTION("""COMPUTED_VALUE"""),"Medianero")</f>
        <v>Medianero</v>
      </c>
      <c r="C71" s="903" t="s">
        <v>436</v>
      </c>
    </row>
    <row r="72">
      <c r="A72" s="9" t="str">
        <f>IFERROR(__xludf.DUMMYFUNCTION("""COMPUTED_VALUE"""),"Uso de Suelo")</f>
        <v>Uso de Suelo</v>
      </c>
      <c r="B72" s="42"/>
      <c r="C72" s="903" t="s">
        <v>437</v>
      </c>
    </row>
    <row r="73">
      <c r="A73" s="9" t="str">
        <f>IFERROR(__xludf.DUMMYFUNCTION("""COMPUTED_VALUE"""),"Tipo de uso de suelo")</f>
        <v>Tipo de uso de suelo</v>
      </c>
      <c r="B73" s="42"/>
      <c r="C73" s="903" t="s">
        <v>438</v>
      </c>
    </row>
    <row r="74">
      <c r="A74" s="9" t="str">
        <f>IFERROR(__xludf.DUMMYFUNCTION("""COMPUTED_VALUE"""),"Densidad de poblacion")</f>
        <v>Densidad de poblacion</v>
      </c>
      <c r="B74" s="42"/>
      <c r="C74" s="903" t="s">
        <v>439</v>
      </c>
    </row>
    <row r="75">
      <c r="A75" s="9" t="str">
        <f>IFERROR(__xludf.DUMMYFUNCTION("""COMPUTED_VALUE"""),"Densidad de urbanización")</f>
        <v>Densidad de urbanización</v>
      </c>
      <c r="B75" s="906"/>
      <c r="C75" s="903" t="s">
        <v>440</v>
      </c>
    </row>
    <row r="76">
      <c r="A76" s="9" t="str">
        <f>IFERROR(__xludf.DUMMYFUNCTION("""COMPUTED_VALUE"""),"Servidumbres o Restricciones")</f>
        <v>Servidumbres o Restricciones</v>
      </c>
      <c r="B76" s="42"/>
      <c r="C76" s="903" t="s">
        <v>441</v>
      </c>
    </row>
    <row r="77">
      <c r="A77" s="9" t="str">
        <f>IFERROR(__xludf.DUMMYFUNCTION("""COMPUTED_VALUE"""),"SECCIÓN CARACTERISTICAS DEL INMUEBLE")</f>
        <v>SECCIÓN CARACTERISTICAS DEL INMUEBLE</v>
      </c>
      <c r="B77" s="42"/>
      <c r="C77" s="903" t="s">
        <v>442</v>
      </c>
    </row>
    <row r="78">
      <c r="A78" s="9" t="str">
        <f>IFERROR(__xludf.DUMMYFUNCTION("""COMPUTED_VALUE"""),"SUBSECCION DATOS")</f>
        <v>SUBSECCION DATOS</v>
      </c>
      <c r="B78" s="42"/>
      <c r="C78" s="903" t="s">
        <v>443</v>
      </c>
    </row>
    <row r="79">
      <c r="A79" s="9" t="str">
        <f>IFERROR(__xludf.DUMMYFUNCTION("""COMPUTED_VALUE"""),"Superficie de Terreno")</f>
        <v>Superficie de Terreno</v>
      </c>
      <c r="B79" s="907">
        <f>IFERROR(__xludf.DUMMYFUNCTION("""COMPUTED_VALUE"""),98.0)</f>
        <v>98</v>
      </c>
      <c r="C79" s="903" t="s">
        <v>444</v>
      </c>
    </row>
    <row r="80">
      <c r="A80" s="9" t="str">
        <f>IFERROR(__xludf.DUMMYFUNCTION("""COMPUTED_VALUE"""),"Colindancia")</f>
        <v>Colindancia</v>
      </c>
      <c r="B80" s="42"/>
      <c r="C80" s="903" t="s">
        <v>445</v>
      </c>
    </row>
    <row r="81">
      <c r="A81" s="9" t="str">
        <f>IFERROR(__xludf.DUMMYFUNCTION("""COMPUTED_VALUE"""),"Cantidad")</f>
        <v>Cantidad</v>
      </c>
      <c r="B81" s="907"/>
      <c r="C81" s="903" t="s">
        <v>446</v>
      </c>
    </row>
    <row r="82">
      <c r="A82" s="9" t="str">
        <f>IFERROR(__xludf.DUMMYFUNCTION("""COMPUTED_VALUE"""),"Lindero con")</f>
        <v>Lindero con</v>
      </c>
      <c r="B82" s="42"/>
      <c r="C82" s="903" t="s">
        <v>447</v>
      </c>
    </row>
    <row r="83">
      <c r="A83" s="9" t="str">
        <f>IFERROR(__xludf.DUMMYFUNCTION("""COMPUTED_VALUE"""),"Superficie de Construcciones")</f>
        <v>Superficie de Construcciones</v>
      </c>
      <c r="B83" s="42"/>
      <c r="C83" s="903" t="s">
        <v>448</v>
      </c>
    </row>
    <row r="84">
      <c r="A84" s="9" t="str">
        <f>IFERROR(__xludf.DUMMYFUNCTION("""COMPUTED_VALUE"""),"Superficie accesoria")</f>
        <v>Superficie accesoria</v>
      </c>
      <c r="B84" s="42"/>
      <c r="C84" s="903" t="s">
        <v>449</v>
      </c>
    </row>
    <row r="85">
      <c r="A85" s="9" t="str">
        <f>IFERROR(__xludf.DUMMYFUNCTION("""COMPUTED_VALUE"""),"Indiviso")</f>
        <v>Indiviso</v>
      </c>
      <c r="B85" s="42"/>
      <c r="C85" s="903" t="s">
        <v>450</v>
      </c>
    </row>
    <row r="86">
      <c r="A86" s="9" t="str">
        <f>IFERROR(__xludf.DUMMYFUNCTION("""COMPUTED_VALUE"""),"SUBSECCION ESPACIOS")</f>
        <v>SUBSECCION ESPACIOS</v>
      </c>
      <c r="B86" s="42"/>
      <c r="C86" s="903" t="s">
        <v>451</v>
      </c>
    </row>
    <row r="87">
      <c r="A87" s="9" t="str">
        <f>IFERROR(__xludf.DUMMYFUNCTION("""COMPUTED_VALUE"""),"Estacionamientos descubiertos")</f>
        <v>Estacionamientos descubiertos</v>
      </c>
      <c r="B87" s="42"/>
      <c r="C87" s="903" t="s">
        <v>452</v>
      </c>
    </row>
    <row r="88">
      <c r="A88" s="9" t="str">
        <f>IFERROR(__xludf.DUMMYFUNCTION("""COMPUTED_VALUE"""),"Estacionamientos cubiertos")</f>
        <v>Estacionamientos cubiertos</v>
      </c>
      <c r="B88" s="42"/>
      <c r="C88" s="903" t="s">
        <v>453</v>
      </c>
    </row>
    <row r="89">
      <c r="A89" s="9" t="str">
        <f>IFERROR(__xludf.DUMMYFUNCTION("""COMPUTED_VALUE"""),"Recamaras")</f>
        <v>Recamaras</v>
      </c>
      <c r="B89" s="1">
        <f>IFERROR(__xludf.DUMMYFUNCTION("""COMPUTED_VALUE"""),3.0)</f>
        <v>3</v>
      </c>
      <c r="C89" s="903" t="s">
        <v>454</v>
      </c>
    </row>
    <row r="90">
      <c r="A90" s="9" t="str">
        <f>IFERROR(__xludf.DUMMYFUNCTION("""COMPUTED_VALUE"""),"1/2 baño")</f>
        <v>1/2 baño</v>
      </c>
      <c r="B90" s="42">
        <f>IFERROR(__xludf.DUMMYFUNCTION("""COMPUTED_VALUE"""),1.0)</f>
        <v>1</v>
      </c>
      <c r="C90" s="903" t="s">
        <v>455</v>
      </c>
    </row>
    <row r="91">
      <c r="A91" s="9" t="str">
        <f>IFERROR(__xludf.DUMMYFUNCTION("""COMPUTED_VALUE"""),"Baños")</f>
        <v>Baños</v>
      </c>
      <c r="B91" s="42">
        <f>IFERROR(__xludf.DUMMYFUNCTION("""COMPUTED_VALUE"""),1.0)</f>
        <v>1</v>
      </c>
      <c r="C91" s="903" t="s">
        <v>456</v>
      </c>
    </row>
    <row r="92">
      <c r="A92" s="9" t="str">
        <f>IFERROR(__xludf.DUMMYFUNCTION("""COMPUTED_VALUE"""),"Patio Servicio")</f>
        <v>Patio Servicio</v>
      </c>
      <c r="B92" s="42">
        <f>IFERROR(__xludf.DUMMYFUNCTION("""COMPUTED_VALUE"""),1.0)</f>
        <v>1</v>
      </c>
      <c r="C92" s="903" t="s">
        <v>457</v>
      </c>
    </row>
    <row r="93">
      <c r="A93" s="9" t="str">
        <f>IFERROR(__xludf.DUMMYFUNCTION("""COMPUTED_VALUE"""),"Cuarto de Servicio")</f>
        <v>Cuarto de Servicio</v>
      </c>
      <c r="B93" s="42"/>
      <c r="C93" s="903" t="s">
        <v>458</v>
      </c>
    </row>
    <row r="94">
      <c r="A94" s="9" t="str">
        <f>IFERROR(__xludf.DUMMYFUNCTION("""COMPUTED_VALUE"""),"Terraza")</f>
        <v>Terraza</v>
      </c>
      <c r="B94" s="42"/>
      <c r="C94" s="903" t="s">
        <v>459</v>
      </c>
    </row>
    <row r="95">
      <c r="A95" s="9" t="str">
        <f>IFERROR(__xludf.DUMMYFUNCTION("""COMPUTED_VALUE"""),"Sotano")</f>
        <v>Sotano</v>
      </c>
      <c r="B95" s="42"/>
      <c r="C95" s="903" t="s">
        <v>460</v>
      </c>
    </row>
    <row r="96">
      <c r="A96" s="9" t="str">
        <f>IFERROR(__xludf.DUMMYFUNCTION("""COMPUTED_VALUE"""),"Patios")</f>
        <v>Patios</v>
      </c>
      <c r="B96" s="42"/>
      <c r="C96" s="903" t="s">
        <v>461</v>
      </c>
    </row>
    <row r="97">
      <c r="A97" s="9" t="str">
        <f>IFERROR(__xludf.DUMMYFUNCTION("""COMPUTED_VALUE"""),"Otros Espacios")</f>
        <v>Otros Espacios</v>
      </c>
      <c r="B97" s="42"/>
      <c r="C97" s="903" t="s">
        <v>462</v>
      </c>
    </row>
    <row r="98">
      <c r="A98" s="9" t="str">
        <f>IFERROR(__xludf.DUMMYFUNCTION("""COMPUTED_VALUE"""),"Descripción del inmueble")</f>
        <v>Descripción del inmueble</v>
      </c>
      <c r="B98" s="42"/>
      <c r="C98" s="903" t="s">
        <v>463</v>
      </c>
    </row>
    <row r="99">
      <c r="A99" s="9" t="str">
        <f>IFERROR(__xludf.DUMMYFUNCTION("""COMPUTED_VALUE"""),"SUBSECCION INSTALACIONES ESPECIALES")</f>
        <v>SUBSECCION INSTALACIONES ESPECIALES</v>
      </c>
      <c r="B99" s="42"/>
      <c r="C99" s="903" t="s">
        <v>464</v>
      </c>
    </row>
    <row r="100">
      <c r="A100" s="9" t="str">
        <f>IFERROR(__xludf.DUMMYFUNCTION("""COMPUTED_VALUE"""),"Muebles cocina")</f>
        <v>Muebles cocina</v>
      </c>
      <c r="B100" s="42"/>
      <c r="C100" s="903" t="s">
        <v>465</v>
      </c>
    </row>
    <row r="101">
      <c r="A101" s="9" t="str">
        <f>IFERROR(__xludf.DUMMYFUNCTION("""COMPUTED_VALUE"""),"Cubierta cocina")</f>
        <v>Cubierta cocina</v>
      </c>
      <c r="B101" s="42"/>
      <c r="C101" s="903" t="s">
        <v>466</v>
      </c>
    </row>
    <row r="102">
      <c r="A102" s="9" t="str">
        <f>IFERROR(__xludf.DUMMYFUNCTION("""COMPUTED_VALUE"""),"Jacuzzi")</f>
        <v>Jacuzzi</v>
      </c>
      <c r="B102" s="42"/>
      <c r="C102" s="903" t="s">
        <v>467</v>
      </c>
    </row>
    <row r="103">
      <c r="A103" s="9" t="str">
        <f>IFERROR(__xludf.DUMMYFUNCTION("""COMPUTED_VALUE"""),"Alberca")</f>
        <v>Alberca</v>
      </c>
      <c r="B103" s="42" t="b">
        <f>IFERROR(__xludf.DUMMYFUNCTION("""COMPUTED_VALUE"""),FALSE)</f>
        <v>0</v>
      </c>
      <c r="C103" s="903" t="s">
        <v>468</v>
      </c>
    </row>
    <row r="104">
      <c r="A104" s="9" t="str">
        <f>IFERROR(__xludf.DUMMYFUNCTION("""COMPUTED_VALUE"""),"Calefacción alberca")</f>
        <v>Calefacción alberca</v>
      </c>
      <c r="B104" s="42" t="b">
        <f>IFERROR(__xludf.DUMMYFUNCTION("""COMPUTED_VALUE"""),FALSE)</f>
        <v>0</v>
      </c>
      <c r="C104" s="903" t="s">
        <v>469</v>
      </c>
    </row>
    <row r="105">
      <c r="A105" s="9" t="str">
        <f>IFERROR(__xludf.DUMMYFUNCTION("""COMPUTED_VALUE"""),"A. Acondicionado")</f>
        <v>A. Acondicionado</v>
      </c>
      <c r="B105" s="42"/>
      <c r="C105" s="903" t="s">
        <v>470</v>
      </c>
    </row>
    <row r="106">
      <c r="A106" s="9" t="str">
        <f>IFERROR(__xludf.DUMMYFUNCTION("""COMPUTED_VALUE"""),"Salidas. Audio (bocinas)")</f>
        <v>Salidas. Audio (bocinas)</v>
      </c>
      <c r="B106" s="42"/>
      <c r="C106" s="903" t="s">
        <v>471</v>
      </c>
    </row>
    <row r="107">
      <c r="A107" s="9" t="str">
        <f>IFERROR(__xludf.DUMMYFUNCTION("""COMPUTED_VALUE"""),"Sist. Vigilancia camaras")</f>
        <v>Sist. Vigilancia camaras</v>
      </c>
      <c r="B107" s="42"/>
      <c r="C107" s="903" t="s">
        <v>472</v>
      </c>
    </row>
    <row r="108">
      <c r="A108" s="9" t="str">
        <f>IFERROR(__xludf.DUMMYFUNCTION("""COMPUTED_VALUE"""),"Calentador Solar (litros)")</f>
        <v>Calentador Solar (litros)</v>
      </c>
      <c r="B108" s="42"/>
      <c r="C108" s="903" t="s">
        <v>473</v>
      </c>
    </row>
    <row r="109">
      <c r="A109" s="9" t="str">
        <f>IFERROR(__xludf.DUMMYFUNCTION("""COMPUTED_VALUE"""),"Paneles Solares")</f>
        <v>Paneles Solares</v>
      </c>
      <c r="B109" s="42"/>
      <c r="C109" s="903" t="s">
        <v>474</v>
      </c>
    </row>
    <row r="110">
      <c r="A110" s="9" t="str">
        <f>IFERROR(__xludf.DUMMYFUNCTION("""COMPUTED_VALUE"""),"Bomba hidroneumatica")</f>
        <v>Bomba hidroneumatica</v>
      </c>
      <c r="B110" s="42"/>
      <c r="C110" s="903" t="s">
        <v>475</v>
      </c>
    </row>
    <row r="111">
      <c r="A111" s="9" t="str">
        <f>IFERROR(__xludf.DUMMYFUNCTION("""COMPUTED_VALUE"""),"SUBSECCION INSTALACIONES")</f>
        <v>SUBSECCION INSTALACIONES</v>
      </c>
      <c r="B111" s="42"/>
      <c r="C111" s="903" t="s">
        <v>476</v>
      </c>
    </row>
    <row r="112">
      <c r="A112" s="9" t="str">
        <f>IFERROR(__xludf.DUMMYFUNCTION("""COMPUTED_VALUE"""),"Tubería Hidraulica ")</f>
        <v>Tubería Hidraulica </v>
      </c>
      <c r="B112" s="42" t="str">
        <f>IFERROR(__xludf.DUMMYFUNCTION("""COMPUTED_VALUE"""),"Cpvc")</f>
        <v>Cpvc</v>
      </c>
      <c r="C112" s="903" t="s">
        <v>477</v>
      </c>
    </row>
    <row r="113">
      <c r="A113" s="9" t="str">
        <f>IFERROR(__xludf.DUMMYFUNCTION("""COMPUTED_VALUE"""),"Tuberia Sanitaria")</f>
        <v>Tuberia Sanitaria</v>
      </c>
      <c r="B113" s="42" t="str">
        <f>IFERROR(__xludf.DUMMYFUNCTION("""COMPUTED_VALUE"""),"PVC Sanitario")</f>
        <v>PVC Sanitario</v>
      </c>
      <c r="C113" s="903" t="s">
        <v>478</v>
      </c>
    </row>
    <row r="114">
      <c r="A114" s="9" t="str">
        <f>IFERROR(__xludf.DUMMYFUNCTION("""COMPUTED_VALUE"""),"Inst Electrica")</f>
        <v>Inst Electrica</v>
      </c>
      <c r="B114" s="42" t="str">
        <f>IFERROR(__xludf.DUMMYFUNCTION("""COMPUTED_VALUE"""),"Oculta con Poliducto de PVC, Salidas de Centro para Lamparas,Contacto y Apagadores Tipo Comercial.")</f>
        <v>Oculta con Poliducto de PVC, Salidas de Centro para Lamparas,Contacto y Apagadores Tipo Comercial.</v>
      </c>
      <c r="C114" s="903" t="s">
        <v>479</v>
      </c>
    </row>
    <row r="115">
      <c r="A115" s="9" t="str">
        <f>IFERROR(__xludf.DUMMYFUNCTION("""COMPUTED_VALUE"""),"Cableado Electrico")</f>
        <v>Cableado Electrico</v>
      </c>
      <c r="B115" s="42" t="str">
        <f>IFERROR(__xludf.DUMMYFUNCTION("""COMPUTED_VALUE"""),"Oculto")</f>
        <v>Oculto</v>
      </c>
      <c r="C115" s="903" t="s">
        <v>480</v>
      </c>
    </row>
    <row r="116">
      <c r="A116" s="9" t="str">
        <f>IFERROR(__xludf.DUMMYFUNCTION("""COMPUTED_VALUE"""),"Tuberia Gas")</f>
        <v>Tuberia Gas</v>
      </c>
      <c r="B116" s="42" t="str">
        <f>IFERROR(__xludf.DUMMYFUNCTION("""COMPUTED_VALUE"""),"Galvanizado")</f>
        <v>Galvanizado</v>
      </c>
      <c r="C116" s="903" t="s">
        <v>481</v>
      </c>
    </row>
    <row r="117">
      <c r="A117" s="9" t="str">
        <f>IFERROR(__xludf.DUMMYFUNCTION("""COMPUTED_VALUE"""),"Gas almacenaje")</f>
        <v>Gas almacenaje</v>
      </c>
      <c r="B117" s="42" t="str">
        <f>IFERROR(__xludf.DUMMYFUNCTION("""COMPUTED_VALUE"""),"Cilindro")</f>
        <v>Cilindro</v>
      </c>
      <c r="C117" s="903" t="s">
        <v>482</v>
      </c>
    </row>
    <row r="118">
      <c r="A118" s="9" t="str">
        <f>IFERROR(__xludf.DUMMYFUNCTION("""COMPUTED_VALUE"""),"SUBSECCION ACABADOS")</f>
        <v>SUBSECCION ACABADOS</v>
      </c>
      <c r="B118" s="42"/>
      <c r="C118" s="903" t="s">
        <v>483</v>
      </c>
    </row>
    <row r="119">
      <c r="A119" s="9" t="str">
        <f>IFERROR(__xludf.DUMMYFUNCTION("""COMPUTED_VALUE"""),"Fachada pisos")</f>
        <v>Fachada pisos</v>
      </c>
      <c r="B119" s="42"/>
      <c r="C119" s="903" t="s">
        <v>484</v>
      </c>
    </row>
    <row r="120">
      <c r="A120" s="9" t="str">
        <f>IFERROR(__xludf.DUMMYFUNCTION("""COMPUTED_VALUE"""),"Fachada  muro")</f>
        <v>Fachada  muro</v>
      </c>
      <c r="B120" s="42"/>
      <c r="C120" s="903" t="s">
        <v>485</v>
      </c>
    </row>
    <row r="121">
      <c r="A121" s="9" t="str">
        <f>IFERROR(__xludf.DUMMYFUNCTION("""COMPUTED_VALUE"""),"Fachada  techos")</f>
        <v>Fachada  techos</v>
      </c>
      <c r="B121" s="42"/>
      <c r="C121" s="903" t="s">
        <v>486</v>
      </c>
    </row>
    <row r="122">
      <c r="A122" s="9" t="str">
        <f>IFERROR(__xludf.DUMMYFUNCTION("""COMPUTED_VALUE"""),"Sala comedor Pisos")</f>
        <v>Sala comedor Pisos</v>
      </c>
      <c r="B122" s="42"/>
      <c r="C122" s="903" t="s">
        <v>487</v>
      </c>
    </row>
    <row r="123">
      <c r="A123" s="9" t="str">
        <f>IFERROR(__xludf.DUMMYFUNCTION("""COMPUTED_VALUE"""),"Sala Comedor muro")</f>
        <v>Sala Comedor muro</v>
      </c>
      <c r="B123" s="42"/>
      <c r="C123" s="903" t="s">
        <v>488</v>
      </c>
    </row>
    <row r="124">
      <c r="A124" s="9" t="str">
        <f>IFERROR(__xludf.DUMMYFUNCTION("""COMPUTED_VALUE"""),"Sala comedor techos")</f>
        <v>Sala comedor techos</v>
      </c>
      <c r="B124" s="42"/>
      <c r="C124" s="903" t="s">
        <v>489</v>
      </c>
    </row>
    <row r="125">
      <c r="A125" s="9" t="str">
        <f>IFERROR(__xludf.DUMMYFUNCTION("""COMPUTED_VALUE"""),"Recamaras pisos")</f>
        <v>Recamaras pisos</v>
      </c>
      <c r="B125" s="42"/>
      <c r="C125" s="903" t="s">
        <v>490</v>
      </c>
    </row>
    <row r="126">
      <c r="A126" s="9" t="str">
        <f>IFERROR(__xludf.DUMMYFUNCTION("""COMPUTED_VALUE"""),"REcamaras muro")</f>
        <v>REcamaras muro</v>
      </c>
      <c r="B126" s="42"/>
      <c r="C126" s="903" t="s">
        <v>491</v>
      </c>
    </row>
    <row r="127">
      <c r="A127" s="9" t="str">
        <f>IFERROR(__xludf.DUMMYFUNCTION("""COMPUTED_VALUE"""),"Recamaras techos")</f>
        <v>Recamaras techos</v>
      </c>
      <c r="B127" s="42"/>
      <c r="C127" s="903" t="s">
        <v>492</v>
      </c>
    </row>
    <row r="128">
      <c r="A128" s="9" t="str">
        <f>IFERROR(__xludf.DUMMYFUNCTION("""COMPUTED_VALUE"""),"Baños pisos")</f>
        <v>Baños pisos</v>
      </c>
      <c r="B128" s="42"/>
      <c r="C128" s="903" t="s">
        <v>493</v>
      </c>
    </row>
    <row r="129">
      <c r="A129" s="9" t="str">
        <f>IFERROR(__xludf.DUMMYFUNCTION("""COMPUTED_VALUE"""),"Baños muro")</f>
        <v>Baños muro</v>
      </c>
      <c r="B129" s="42"/>
      <c r="C129" s="903" t="s">
        <v>494</v>
      </c>
    </row>
    <row r="130">
      <c r="A130" s="9" t="str">
        <f>IFERROR(__xludf.DUMMYFUNCTION("""COMPUTED_VALUE"""),"Baños techos")</f>
        <v>Baños techos</v>
      </c>
      <c r="B130" s="42"/>
      <c r="C130" s="903" t="s">
        <v>495</v>
      </c>
    </row>
    <row r="131">
      <c r="A131" s="9" t="str">
        <f>IFERROR(__xludf.DUMMYFUNCTION("""COMPUTED_VALUE"""),"Cocina pisos")</f>
        <v>Cocina pisos</v>
      </c>
      <c r="B131" s="42"/>
      <c r="C131" s="903" t="s">
        <v>496</v>
      </c>
    </row>
    <row r="132">
      <c r="A132" s="9" t="str">
        <f>IFERROR(__xludf.DUMMYFUNCTION("""COMPUTED_VALUE"""),"Cocina muro")</f>
        <v>Cocina muro</v>
      </c>
      <c r="B132" s="42"/>
      <c r="C132" s="903" t="s">
        <v>497</v>
      </c>
    </row>
    <row r="133">
      <c r="A133" s="9" t="str">
        <f>IFERROR(__xludf.DUMMYFUNCTION("""COMPUTED_VALUE"""),"Cocina techos")</f>
        <v>Cocina techos</v>
      </c>
      <c r="B133" s="42"/>
      <c r="C133" s="903" t="s">
        <v>498</v>
      </c>
    </row>
    <row r="134">
      <c r="A134" s="9" t="str">
        <f>IFERROR(__xludf.DUMMYFUNCTION("""COMPUTED_VALUE"""),"Paitio pisos")</f>
        <v>Paitio pisos</v>
      </c>
      <c r="B134" s="42"/>
      <c r="C134" s="903" t="s">
        <v>499</v>
      </c>
    </row>
    <row r="135">
      <c r="A135" s="9" t="str">
        <f>IFERROR(__xludf.DUMMYFUNCTION("""COMPUTED_VALUE"""),"Patio muro")</f>
        <v>Patio muro</v>
      </c>
      <c r="B135" s="42"/>
      <c r="C135" s="903" t="s">
        <v>500</v>
      </c>
    </row>
    <row r="136">
      <c r="A136" s="9" t="str">
        <f>IFERROR(__xludf.DUMMYFUNCTION("""COMPUTED_VALUE"""),"Patio techos")</f>
        <v>Patio techos</v>
      </c>
      <c r="B136" s="42"/>
      <c r="C136" s="903" t="s">
        <v>501</v>
      </c>
    </row>
    <row r="137">
      <c r="A137" s="9" t="str">
        <f>IFERROR(__xludf.DUMMYFUNCTION("""COMPUTED_VALUE"""),"SUBSECCION AZOTEAS")</f>
        <v>SUBSECCION AZOTEAS</v>
      </c>
      <c r="B137" s="42"/>
      <c r="C137" s="903" t="s">
        <v>502</v>
      </c>
    </row>
    <row r="138">
      <c r="A138" s="9" t="str">
        <f>IFERROR(__xludf.DUMMYFUNCTION("""COMPUTED_VALUE"""),"Impermeabillizada")</f>
        <v>Impermeabillizada</v>
      </c>
      <c r="B138" s="42"/>
      <c r="C138" s="903" t="s">
        <v>503</v>
      </c>
    </row>
    <row r="139">
      <c r="A139" s="9" t="str">
        <f>IFERROR(__xludf.DUMMYFUNCTION("""COMPUTED_VALUE"""),"Tipo de Impermeabilización")</f>
        <v>Tipo de Impermeabilización</v>
      </c>
      <c r="B139" s="42"/>
      <c r="C139" s="903" t="s">
        <v>504</v>
      </c>
    </row>
    <row r="140">
      <c r="A140" s="9" t="str">
        <f>IFERROR(__xludf.DUMMYFUNCTION("""COMPUTED_VALUE"""),"SUBSECCIÓN CLOSETS")</f>
        <v>SUBSECCIÓN CLOSETS</v>
      </c>
      <c r="B140" s="42"/>
      <c r="C140" s="903" t="s">
        <v>505</v>
      </c>
    </row>
    <row r="141">
      <c r="A141" s="9" t="str">
        <f>IFERROR(__xludf.DUMMYFUNCTION("""COMPUTED_VALUE"""),"Closets")</f>
        <v>Closets</v>
      </c>
      <c r="B141" s="42"/>
      <c r="C141" s="903" t="s">
        <v>506</v>
      </c>
    </row>
    <row r="142">
      <c r="A142" s="9" t="str">
        <f>IFERROR(__xludf.DUMMYFUNCTION("""COMPUTED_VALUE"""),"Puertas interiores")</f>
        <v>Puertas interiores</v>
      </c>
      <c r="B142" s="42"/>
      <c r="C142" s="903" t="s">
        <v>507</v>
      </c>
    </row>
    <row r="143">
      <c r="A143" s="9" t="str">
        <f>IFERROR(__xludf.DUMMYFUNCTION("""COMPUTED_VALUE"""),"Puertas Ingreso")</f>
        <v>Puertas Ingreso</v>
      </c>
      <c r="B143" s="42"/>
      <c r="C143" s="903" t="s">
        <v>508</v>
      </c>
    </row>
    <row r="144">
      <c r="A144" s="9" t="str">
        <f>IFERROR(__xludf.DUMMYFUNCTION("""COMPUTED_VALUE"""),"Puertas Exteriores")</f>
        <v>Puertas Exteriores</v>
      </c>
      <c r="B144" s="42"/>
      <c r="C144" s="903" t="s">
        <v>509</v>
      </c>
    </row>
    <row r="145">
      <c r="A145" s="9" t="str">
        <f>IFERROR(__xludf.DUMMYFUNCTION("""COMPUTED_VALUE"""),"SUBSECCIÓN HERRERÍA")</f>
        <v>SUBSECCIÓN HERRERÍA</v>
      </c>
      <c r="B145" s="42"/>
      <c r="C145" s="903" t="s">
        <v>510</v>
      </c>
    </row>
    <row r="146">
      <c r="A146" s="9" t="str">
        <f>IFERROR(__xludf.DUMMYFUNCTION("""COMPUTED_VALUE"""),"Puertas Herrería")</f>
        <v>Puertas Herrería</v>
      </c>
      <c r="B146" s="42"/>
      <c r="C146" s="903" t="s">
        <v>511</v>
      </c>
    </row>
    <row r="147">
      <c r="A147" s="9" t="str">
        <f>IFERROR(__xludf.DUMMYFUNCTION("""COMPUTED_VALUE"""),"Ventanas Herrería")</f>
        <v>Ventanas Herrería</v>
      </c>
      <c r="B147" s="42"/>
      <c r="C147" s="903" t="s">
        <v>512</v>
      </c>
    </row>
    <row r="148">
      <c r="A148" s="9" t="str">
        <f>IFERROR(__xludf.DUMMYFUNCTION("""COMPUTED_VALUE"""),"Porton Herrería")</f>
        <v>Porton Herrería</v>
      </c>
      <c r="B148" s="42"/>
      <c r="C148" s="903" t="s">
        <v>513</v>
      </c>
    </row>
    <row r="149">
      <c r="A149" s="9" t="str">
        <f>IFERROR(__xludf.DUMMYFUNCTION("""COMPUTED_VALUE"""),"Barandales Herrería")</f>
        <v>Barandales Herrería</v>
      </c>
      <c r="B149" s="42"/>
      <c r="C149" s="903" t="s">
        <v>514</v>
      </c>
    </row>
    <row r="150">
      <c r="A150" s="9" t="str">
        <f>IFERROR(__xludf.DUMMYFUNCTION("""COMPUTED_VALUE"""),"SUBSECCION VENTANERIA Y CANCELERIA")</f>
        <v>SUBSECCION VENTANERIA Y CANCELERIA</v>
      </c>
      <c r="B150" s="42"/>
      <c r="C150" s="903" t="s">
        <v>515</v>
      </c>
    </row>
    <row r="151">
      <c r="A151" s="9" t="str">
        <f>IFERROR(__xludf.DUMMYFUNCTION("""COMPUTED_VALUE"""),"Puertas  Vidrio")</f>
        <v>Puertas  Vidrio</v>
      </c>
      <c r="B151" s="42"/>
      <c r="C151" s="903" t="s">
        <v>516</v>
      </c>
    </row>
    <row r="152">
      <c r="A152" s="9" t="str">
        <f>IFERROR(__xludf.DUMMYFUNCTION("""COMPUTED_VALUE"""),"Ventanas Vidrio")</f>
        <v>Ventanas Vidrio</v>
      </c>
      <c r="B152" s="42"/>
      <c r="C152" s="903" t="s">
        <v>517</v>
      </c>
    </row>
    <row r="153">
      <c r="A153" s="9" t="str">
        <f>IFERROR(__xludf.DUMMYFUNCTION("""COMPUTED_VALUE"""),"Puerta Regadera")</f>
        <v>Puerta Regadera</v>
      </c>
      <c r="B153" s="42"/>
      <c r="C153" s="903" t="s">
        <v>518</v>
      </c>
    </row>
    <row r="154">
      <c r="A154" s="9" t="str">
        <f>IFERROR(__xludf.DUMMYFUNCTION("""COMPUTED_VALUE"""),"Otros")</f>
        <v>Otros</v>
      </c>
      <c r="B154" s="42"/>
      <c r="C154" s="903" t="s">
        <v>519</v>
      </c>
    </row>
    <row r="155">
      <c r="A155" s="908" t="str">
        <f>IFERROR(__xludf.DUMMYFUNCTION("TRANSPOSE(QUERY(IMPORTRANGE(""1aF3RXZCNy_CKBDFezcCT7265looJ5_hSeKa4_qe8HZA"",""Clientes!A:K""),""SELECT * WHERE Col1 ='ba44bb30'"",1))"),"Id")</f>
        <v>Id</v>
      </c>
      <c r="B155" s="42" t="str">
        <f>IFERROR(__xludf.DUMMYFUNCTION("""COMPUTED_VALUE"""),"ba44bb30")</f>
        <v>ba44bb30</v>
      </c>
      <c r="C155" s="903" t="s">
        <v>369</v>
      </c>
    </row>
    <row r="156">
      <c r="A156" s="908" t="str">
        <f>IFERROR(__xludf.DUMMYFUNCTION("""COMPUTED_VALUE"""),"Nombre")</f>
        <v>Nombre</v>
      </c>
      <c r="B156" s="42" t="str">
        <f>IFERROR(__xludf.DUMMYFUNCTION("""COMPUTED_VALUE"""),"Federico Arellano")</f>
        <v>Federico Arellano</v>
      </c>
      <c r="C156" s="903" t="s">
        <v>520</v>
      </c>
    </row>
    <row r="157">
      <c r="A157" s="908" t="str">
        <f>IFERROR(__xludf.DUMMYFUNCTION("""COMPUTED_VALUE"""),"Codigo Telefono")</f>
        <v>Codigo Telefono</v>
      </c>
      <c r="B157" s="42" t="str">
        <f>IFERROR(__xludf.DUMMYFUNCTION("""COMPUTED_VALUE"""),"Otros Paises")</f>
        <v>Otros Paises</v>
      </c>
      <c r="C157" s="903" t="s">
        <v>521</v>
      </c>
    </row>
    <row r="158">
      <c r="A158" s="908" t="str">
        <f>IFERROR(__xludf.DUMMYFUNCTION("""COMPUTED_VALUE"""),"Telefono")</f>
        <v>Telefono</v>
      </c>
      <c r="B158" s="42"/>
      <c r="C158" s="903" t="s">
        <v>522</v>
      </c>
    </row>
    <row r="159">
      <c r="A159" s="908" t="str">
        <f>IFERROR(__xludf.DUMMYFUNCTION("""COMPUTED_VALUE"""),"email")</f>
        <v>email</v>
      </c>
      <c r="B159" s="42"/>
      <c r="C159" s="903" t="s">
        <v>523</v>
      </c>
    </row>
    <row r="160">
      <c r="A160" s="908" t="str">
        <f>IFERROR(__xludf.DUMMYFUNCTION("""COMPUTED_VALUE"""),"Empresa")</f>
        <v>Empresa</v>
      </c>
      <c r="B160" s="42"/>
      <c r="C160" s="903" t="s">
        <v>524</v>
      </c>
    </row>
    <row r="161">
      <c r="A161" s="908" t="str">
        <f>IFERROR(__xludf.DUMMYFUNCTION("""COMPUTED_VALUE"""),"Canal Contacto")</f>
        <v>Canal Contacto</v>
      </c>
      <c r="B161" s="42" t="str">
        <f>IFERROR(__xludf.DUMMYFUNCTION("""COMPUTED_VALUE"""),"Busqueda Google")</f>
        <v>Busqueda Google</v>
      </c>
      <c r="C161" s="903" t="s">
        <v>525</v>
      </c>
    </row>
    <row r="162">
      <c r="A162" s="908" t="str">
        <f>IFERROR(__xludf.DUMMYFUNCTION("""COMPUTED_VALUE"""),"Tipo Contacto")</f>
        <v>Tipo Contacto</v>
      </c>
      <c r="B162" s="42" t="str">
        <f>IFERROR(__xludf.DUMMYFUNCTION("""COMPUTED_VALUE"""),"Particular")</f>
        <v>Particular</v>
      </c>
      <c r="C162" s="903" t="s">
        <v>69</v>
      </c>
    </row>
    <row r="163">
      <c r="A163" s="908" t="str">
        <f>IFERROR(__xludf.DUMMYFUNCTION("""COMPUTED_VALUE""")," Ejecutivo")</f>
        <v> Ejecutivo</v>
      </c>
      <c r="B163" s="42" t="str">
        <f>IFERROR(__xludf.DUMMYFUNCTION("""COMPUTED_VALUE"""),"3dfe7666")</f>
        <v>3dfe7666</v>
      </c>
      <c r="C163" s="903" t="s">
        <v>526</v>
      </c>
    </row>
    <row r="164">
      <c r="A164" s="908" t="str">
        <f>IFERROR(__xludf.DUMMYFUNCTION("""COMPUTED_VALUE"""),"Fecha")</f>
        <v>Fecha</v>
      </c>
      <c r="B164" s="909">
        <f>IFERROR(__xludf.DUMMYFUNCTION("""COMPUTED_VALUE"""),45973.0)</f>
        <v>45973</v>
      </c>
      <c r="C164" s="903" t="s">
        <v>527</v>
      </c>
    </row>
    <row r="165">
      <c r="A165" s="908" t="str">
        <f>IFERROR(__xludf.DUMMYFUNCTION("""COMPUTED_VALUE"""),"Observaciones")</f>
        <v>Observaciones</v>
      </c>
      <c r="B165" s="42"/>
      <c r="C165" s="903" t="s">
        <v>528</v>
      </c>
    </row>
    <row r="166">
      <c r="A166" s="908" t="str">
        <f>IFERROR(__xludf.DUMMYFUNCTION("TRANSPOSE(QUERY(IMPORTRANGE(""1aF3RXZCNy_CKBDFezcCT7265looJ5_hSeKa4_qe8HZA"",""Avaluos!A:AV""),""SELECT * WHERE Col1 ='450814fd'"",1))"),"ID")</f>
        <v>ID</v>
      </c>
      <c r="B166" s="42" t="str">
        <f>IFERROR(__xludf.DUMMYFUNCTION("""COMPUTED_VALUE"""),"450814fd")</f>
        <v>450814fd</v>
      </c>
      <c r="C166" s="903" t="s">
        <v>369</v>
      </c>
    </row>
    <row r="167">
      <c r="A167" s="908" t="str">
        <f>IFERROR(__xludf.DUMMYFUNCTION("""COMPUTED_VALUE"""),"Cliente")</f>
        <v>Cliente</v>
      </c>
      <c r="B167" s="42" t="str">
        <f>IFERROR(__xludf.DUMMYFUNCTION("""COMPUTED_VALUE"""),"ba44bb30")</f>
        <v>ba44bb30</v>
      </c>
      <c r="C167" s="903" t="s">
        <v>370</v>
      </c>
    </row>
    <row r="168">
      <c r="A168" s="908" t="str">
        <f>IFERROR(__xludf.DUMMYFUNCTION("""COMPUTED_VALUE"""),"Codigo")</f>
        <v>Codigo</v>
      </c>
      <c r="B168" s="42" t="str">
        <f>IFERROR(__xludf.DUMMYFUNCTION("""COMPUTED_VALUE"""),"OPI-25-11-07-OF")</f>
        <v>OPI-25-11-07-OF</v>
      </c>
      <c r="C168" s="903" t="s">
        <v>529</v>
      </c>
    </row>
    <row r="169">
      <c r="A169" s="908" t="str">
        <f>IFERROR(__xludf.DUMMYFUNCTION("""COMPUTED_VALUE"""),"Fecha")</f>
        <v>Fecha</v>
      </c>
      <c r="B169" s="904">
        <f>IFERROR(__xludf.DUMMYFUNCTION("""COMPUTED_VALUE"""),45973.0)</f>
        <v>45973</v>
      </c>
      <c r="C169" s="903" t="s">
        <v>69</v>
      </c>
    </row>
    <row r="170">
      <c r="A170" s="908" t="str">
        <f>IFERROR(__xludf.DUMMYFUNCTION("""COMPUTED_VALUE"""),"Tipo Avaluo")</f>
        <v>Tipo Avaluo</v>
      </c>
      <c r="B170" s="42" t="str">
        <f>IFERROR(__xludf.DUMMYFUNCTION("""COMPUTED_VALUE"""),"OPI")</f>
        <v>OPI</v>
      </c>
      <c r="C170" s="903" t="s">
        <v>530</v>
      </c>
    </row>
    <row r="171">
      <c r="A171" s="908" t="str">
        <f>IFERROR(__xludf.DUMMYFUNCTION("""COMPUTED_VALUE"""),"Costo Propiedad")</f>
        <v>Costo Propiedad</v>
      </c>
      <c r="B171" s="42">
        <f>IFERROR(__xludf.DUMMYFUNCTION("""COMPUTED_VALUE"""),2100000.0)</f>
        <v>2100000</v>
      </c>
      <c r="C171" s="903" t="s">
        <v>531</v>
      </c>
    </row>
    <row r="172">
      <c r="A172" s="908" t="str">
        <f>IFERROR(__xludf.DUMMYFUNCTION("""COMPUTED_VALUE"""),"Ubicacion")</f>
        <v>Ubicacion</v>
      </c>
      <c r="B172" s="42"/>
      <c r="C172" s="903" t="s">
        <v>532</v>
      </c>
    </row>
    <row r="173">
      <c r="A173" s="908" t="str">
        <f>IFERROR(__xludf.DUMMYFUNCTION("""COMPUTED_VALUE"""),"Direccion")</f>
        <v>Direccion</v>
      </c>
      <c r="B173" s="42" t="str">
        <f>IFERROR(__xludf.DUMMYFUNCTION("""COMPUTED_VALUE"""),"Pascal 2164 Colonia San Elias Guadalajara Jalisco 44240")</f>
        <v>Pascal 2164 Colonia San Elias Guadalajara Jalisco 44240</v>
      </c>
      <c r="C173" s="903" t="s">
        <v>375</v>
      </c>
    </row>
    <row r="174">
      <c r="A174" s="908" t="str">
        <f>IFERROR(__xludf.DUMMYFUNCTION("""COMPUTED_VALUE"""),"Cotizacion")</f>
        <v>Cotizacion</v>
      </c>
      <c r="B174" s="42">
        <f>IFERROR(__xludf.DUMMYFUNCTION("""COMPUTED_VALUE"""),2890.0)</f>
        <v>2890</v>
      </c>
      <c r="C174" s="903" t="s">
        <v>533</v>
      </c>
    </row>
    <row r="175">
      <c r="A175" s="908" t="str">
        <f>IFERROR(__xludf.DUMMYFUNCTION("""COMPUTED_VALUE"""),"Superficie Construccion")</f>
        <v>Superficie Construccion</v>
      </c>
      <c r="B175" s="42">
        <f>IFERROR(__xludf.DUMMYFUNCTION("""COMPUTED_VALUE"""),110.0)</f>
        <v>110</v>
      </c>
      <c r="C175" s="903" t="s">
        <v>534</v>
      </c>
    </row>
    <row r="176">
      <c r="A176" s="908" t="str">
        <f>IFERROR(__xludf.DUMMYFUNCTION("""COMPUTED_VALUE"""),"Informacion Adicional")</f>
        <v>Informacion Adicional</v>
      </c>
      <c r="B176" s="42"/>
      <c r="C176" s="903" t="s">
        <v>535</v>
      </c>
    </row>
    <row r="177">
      <c r="A177" s="908" t="str">
        <f>IFERROR(__xludf.DUMMYFUNCTION("""COMPUTED_VALUE"""),"Observaciones")</f>
        <v>Observaciones</v>
      </c>
      <c r="B177" s="42"/>
      <c r="C177" s="903" t="s">
        <v>526</v>
      </c>
    </row>
    <row r="178">
      <c r="A178" s="908" t="str">
        <f>IFERROR(__xludf.DUMMYFUNCTION("""COMPUTED_VALUE""")," Ejecutivo")</f>
        <v> Ejecutivo</v>
      </c>
      <c r="B178" s="42" t="str">
        <f>IFERROR(__xludf.DUMMYFUNCTION("""COMPUTED_VALUE"""),"3dfe7666")</f>
        <v>3dfe7666</v>
      </c>
      <c r="C178" s="903" t="s">
        <v>525</v>
      </c>
    </row>
    <row r="179">
      <c r="A179" s="908" t="str">
        <f>IFERROR(__xludf.DUMMYFUNCTION("""COMPUTED_VALUE"""),"Estatus")</f>
        <v>Estatus</v>
      </c>
      <c r="B179" s="42" t="str">
        <f>IFERROR(__xludf.DUMMYFUNCTION("""COMPUTED_VALUE"""),"Entregado")</f>
        <v>Entregado</v>
      </c>
      <c r="C179" s="903" t="s">
        <v>536</v>
      </c>
    </row>
    <row r="180">
      <c r="A180" s="908" t="str">
        <f>IFERROR(__xludf.DUMMYFUNCTION("""COMPUTED_VALUE"""),"Asignado A")</f>
        <v>Asignado A</v>
      </c>
      <c r="B180" s="42" t="str">
        <f>IFERROR(__xludf.DUMMYFUNCTION("""COMPUTED_VALUE"""),"ea52bccf")</f>
        <v>ea52bccf</v>
      </c>
      <c r="C180" s="903" t="s">
        <v>537</v>
      </c>
    </row>
    <row r="181">
      <c r="A181" s="908" t="str">
        <f>IFERROR(__xludf.DUMMYFUNCTION("""COMPUTED_VALUE"""),"Detalle")</f>
        <v>Detalle</v>
      </c>
      <c r="B181" s="42"/>
      <c r="C181" s="903" t="s">
        <v>538</v>
      </c>
    </row>
    <row r="182">
      <c r="A182" s="908" t="str">
        <f>IFERROR(__xludf.DUMMYFUNCTION("""COMPUTED_VALUE"""),"Cotizador")</f>
        <v>Cotizador</v>
      </c>
      <c r="B182" s="42" t="str">
        <f>IFERROR(__xludf.DUMMYFUNCTION("""COMPUTED_VALUE"""),"9bd54501")</f>
        <v>9bd54501</v>
      </c>
      <c r="C182" s="903" t="s">
        <v>539</v>
      </c>
    </row>
    <row r="183">
      <c r="A183" s="908" t="str">
        <f>IFERROR(__xludf.DUMMYFUNCTION("""COMPUTED_VALUE"""),"Creado Por")</f>
        <v>Creado Por</v>
      </c>
      <c r="B183" s="42" t="str">
        <f>IFERROR(__xludf.DUMMYFUNCTION("""COMPUTED_VALUE"""),"3dfe7666")</f>
        <v>3dfe7666</v>
      </c>
      <c r="C183" s="903" t="s">
        <v>527</v>
      </c>
    </row>
    <row r="184">
      <c r="A184" s="908" t="str">
        <f>IFERROR(__xludf.DUMMYFUNCTION("""COMPUTED_VALUE"""),"Fecha Creacion")</f>
        <v>Fecha Creacion</v>
      </c>
      <c r="B184" s="910">
        <f>IFERROR(__xludf.DUMMYFUNCTION("""COMPUTED_VALUE"""),45973.49105324074)</f>
        <v>45973.49105</v>
      </c>
      <c r="C184" s="903" t="s">
        <v>528</v>
      </c>
    </row>
    <row r="185">
      <c r="A185" s="911" t="str">
        <f>IFERROR(__xludf.DUMMYFUNCTION("""COMPUTED_VALUE"""),"Reporte")</f>
        <v>Reporte</v>
      </c>
      <c r="B185" s="42">
        <f>IFERROR(__xludf.DUMMYFUNCTION("""COMPUTED_VALUE"""),5.0)</f>
        <v>5</v>
      </c>
      <c r="C185" s="903" t="s">
        <v>540</v>
      </c>
    </row>
    <row r="186">
      <c r="A186" s="911" t="str">
        <f>IFERROR(__xludf.DUMMYFUNCTION("""COMPUTED_VALUE"""),"Visitador")</f>
        <v>Visitador</v>
      </c>
      <c r="B186" s="42" t="str">
        <f>IFERROR(__xludf.DUMMYFUNCTION("""COMPUTED_VALUE"""),"2c214683")</f>
        <v>2c214683</v>
      </c>
      <c r="C186" s="903" t="s">
        <v>372</v>
      </c>
    </row>
    <row r="187">
      <c r="A187" s="911" t="str">
        <f>IFERROR(__xludf.DUMMYFUNCTION("""COMPUTED_VALUE"""),"Ultima Visita")</f>
        <v>Ultima Visita</v>
      </c>
      <c r="B187" s="910">
        <f>IFERROR(__xludf.DUMMYFUNCTION("""COMPUTED_VALUE"""),45973.491365740745)</f>
        <v>45973.49137</v>
      </c>
      <c r="C187" s="903" t="s">
        <v>541</v>
      </c>
    </row>
    <row r="188">
      <c r="A188" s="911" t="str">
        <f>IFERROR(__xludf.DUMMYFUNCTION("""COMPUTED_VALUE"""),"Capturista")</f>
        <v>Capturista</v>
      </c>
      <c r="B188" s="42" t="str">
        <f>IFERROR(__xludf.DUMMYFUNCTION("""COMPUTED_VALUE"""),"dc1217c7")</f>
        <v>dc1217c7</v>
      </c>
      <c r="C188" s="903" t="s">
        <v>542</v>
      </c>
    </row>
    <row r="189">
      <c r="A189" s="911" t="str">
        <f>IFERROR(__xludf.DUMMYFUNCTION("""COMPUTED_VALUE"""),"Ultima Captura")</f>
        <v>Ultima Captura</v>
      </c>
      <c r="B189" s="910">
        <f>IFERROR(__xludf.DUMMYFUNCTION("""COMPUTED_VALUE"""),45981.51203703704)</f>
        <v>45981.51204</v>
      </c>
      <c r="C189" s="903" t="s">
        <v>543</v>
      </c>
    </row>
    <row r="190">
      <c r="A190" s="911" t="str">
        <f>IFERROR(__xludf.DUMMYFUNCTION("""COMPUTED_VALUE"""),"Revisor")</f>
        <v>Revisor</v>
      </c>
      <c r="B190" s="42" t="str">
        <f>IFERROR(__xludf.DUMMYFUNCTION("""COMPUTED_VALUE"""),"ea52bccf")</f>
        <v>ea52bccf</v>
      </c>
      <c r="C190" s="903" t="s">
        <v>544</v>
      </c>
    </row>
    <row r="191">
      <c r="A191" s="911" t="str">
        <f>IFERROR(__xludf.DUMMYFUNCTION("""COMPUTED_VALUE"""),"Ultima Revision")</f>
        <v>Ultima Revision</v>
      </c>
      <c r="B191" s="912">
        <f>IFERROR(__xludf.DUMMYFUNCTION("""COMPUTED_VALUE"""),45985.90629629629)</f>
        <v>45985.9063</v>
      </c>
      <c r="C191" s="903" t="s">
        <v>545</v>
      </c>
    </row>
    <row r="192">
      <c r="A192" s="911" t="str">
        <f>IFERROR(__xludf.DUMMYFUNCTION("""COMPUTED_VALUE"""),"Comision Par1")</f>
        <v>Comision Par1</v>
      </c>
      <c r="B192" s="42" t="str">
        <f>IFERROR(__xludf.DUMMYFUNCTION("""COMPUTED_VALUE"""),"Categoria A")</f>
        <v>Categoria A</v>
      </c>
      <c r="C192" s="903" t="s">
        <v>546</v>
      </c>
    </row>
    <row r="193">
      <c r="A193" s="911" t="str">
        <f>IFERROR(__xludf.DUMMYFUNCTION("""COMPUTED_VALUE"""),"Comision Par2")</f>
        <v>Comision Par2</v>
      </c>
      <c r="B193" s="913">
        <f>IFERROR(__xludf.DUMMYFUNCTION("""COMPUTED_VALUE"""),0.0)</f>
        <v>0</v>
      </c>
      <c r="C193" s="903" t="s">
        <v>547</v>
      </c>
    </row>
    <row r="194">
      <c r="A194" s="911" t="str">
        <f>IFERROR(__xludf.DUMMYFUNCTION("""COMPUTED_VALUE"""),"Comision Ref")</f>
        <v>Comision Ref</v>
      </c>
      <c r="B194" s="42" t="str">
        <f>IFERROR(__xludf.DUMMYFUNCTION("""COMPUTED_VALUE"""),"A12")</f>
        <v>A12</v>
      </c>
      <c r="C194" s="903" t="s">
        <v>548</v>
      </c>
    </row>
    <row r="195">
      <c r="A195" s="911" t="str">
        <f>IFERROR(__xludf.DUMMYFUNCTION("""COMPUTED_VALUE"""),"CEje Check")</f>
        <v>CEje Check</v>
      </c>
      <c r="B195" s="42"/>
      <c r="C195" s="903" t="s">
        <v>549</v>
      </c>
    </row>
    <row r="196">
      <c r="A196" s="911" t="str">
        <f>IFERROR(__xludf.DUMMYFUNCTION("""COMPUTED_VALUE"""),"Comision Ejecutivo")</f>
        <v>Comision Ejecutivo</v>
      </c>
      <c r="B196" s="913"/>
      <c r="C196" s="903" t="s">
        <v>550</v>
      </c>
    </row>
    <row r="197">
      <c r="A197" s="911" t="str">
        <f>IFERROR(__xludf.DUMMYFUNCTION("""COMPUTED_VALUE"""),"CVis Check")</f>
        <v>CVis Check</v>
      </c>
      <c r="B197" s="42" t="b">
        <f>IFERROR(__xludf.DUMMYFUNCTION("""COMPUTED_VALUE"""),TRUE)</f>
        <v>1</v>
      </c>
      <c r="C197" s="903" t="s">
        <v>551</v>
      </c>
    </row>
    <row r="198">
      <c r="A198" s="911" t="str">
        <f>IFERROR(__xludf.DUMMYFUNCTION("""COMPUTED_VALUE"""),"Comision x Visita")</f>
        <v>Comision x Visita</v>
      </c>
      <c r="B198" s="913">
        <f>IFERROR(__xludf.DUMMYFUNCTION("""COMPUTED_VALUE"""),400.0)</f>
        <v>400</v>
      </c>
      <c r="C198" s="903" t="s">
        <v>552</v>
      </c>
    </row>
    <row r="199">
      <c r="A199" s="911" t="str">
        <f>IFERROR(__xludf.DUMMYFUNCTION("""COMPUTED_VALUE"""),"CVia check")</f>
        <v>CVia check</v>
      </c>
      <c r="B199" s="42" t="b">
        <f>IFERROR(__xludf.DUMMYFUNCTION("""COMPUTED_VALUE"""),TRUE)</f>
        <v>1</v>
      </c>
      <c r="C199" s="903" t="s">
        <v>553</v>
      </c>
    </row>
    <row r="200">
      <c r="A200" s="911" t="str">
        <f>IFERROR(__xludf.DUMMYFUNCTION("""COMPUTED_VALUE"""),"Comision x Viaticos")</f>
        <v>Comision x Viaticos</v>
      </c>
      <c r="B200" s="913">
        <f>IFERROR(__xludf.DUMMYFUNCTION("""COMPUTED_VALUE"""),0.0)</f>
        <v>0</v>
      </c>
      <c r="C200" s="903" t="s">
        <v>554</v>
      </c>
    </row>
    <row r="201">
      <c r="A201" s="911" t="str">
        <f>IFERROR(__xludf.DUMMYFUNCTION("""COMPUTED_VALUE"""),"CPla check")</f>
        <v>CPla check</v>
      </c>
      <c r="B201" s="42" t="b">
        <f>IFERROR(__xludf.DUMMYFUNCTION("""COMPUTED_VALUE"""),TRUE)</f>
        <v>1</v>
      </c>
      <c r="C201" s="903" t="s">
        <v>555</v>
      </c>
    </row>
    <row r="202">
      <c r="A202" s="911" t="str">
        <f>IFERROR(__xludf.DUMMYFUNCTION("""COMPUTED_VALUE"""),"Comision x Plano")</f>
        <v>Comision x Plano</v>
      </c>
      <c r="B202" s="913">
        <f>IFERROR(__xludf.DUMMYFUNCTION("""COMPUTED_VALUE"""),0.0)</f>
        <v>0</v>
      </c>
      <c r="C202" s="903" t="s">
        <v>556</v>
      </c>
    </row>
    <row r="203">
      <c r="A203" s="911" t="str">
        <f>IFERROR(__xludf.DUMMYFUNCTION("""COMPUTED_VALUE"""),"CFer check")</f>
        <v>CFer check</v>
      </c>
      <c r="B203" s="42" t="b">
        <f>IFERROR(__xludf.DUMMYFUNCTION("""COMPUTED_VALUE"""),TRUE)</f>
        <v>1</v>
      </c>
      <c r="C203" s="903" t="s">
        <v>557</v>
      </c>
    </row>
    <row r="204">
      <c r="A204" s="9" t="str">
        <f>IFERROR(__xludf.DUMMYFUNCTION("""COMPUTED_VALUE"""),"Comision x Feriado")</f>
        <v>Comision x Feriado</v>
      </c>
      <c r="B204" s="913">
        <f>IFERROR(__xludf.DUMMYFUNCTION("""COMPUTED_VALUE"""),0.0)</f>
        <v>0</v>
      </c>
      <c r="C204" s="903" t="s">
        <v>558</v>
      </c>
    </row>
    <row r="205">
      <c r="A205" s="9" t="str">
        <f>IFERROR(__xludf.DUMMYFUNCTION("""COMPUTED_VALUE"""),"Comision Visitador")</f>
        <v>Comision Visitador</v>
      </c>
      <c r="B205" s="913">
        <f>IFERROR(__xludf.DUMMYFUNCTION("""COMPUTED_VALUE"""),400.0)</f>
        <v>400</v>
      </c>
      <c r="C205" s="903" t="s">
        <v>559</v>
      </c>
    </row>
    <row r="206">
      <c r="A206" s="9" t="str">
        <f>IFERROR(__xludf.DUMMYFUNCTION("""COMPUTED_VALUE"""),"CCap check")</f>
        <v>CCap check</v>
      </c>
      <c r="B206" s="42" t="b">
        <f>IFERROR(__xludf.DUMMYFUNCTION("""COMPUTED_VALUE"""),TRUE)</f>
        <v>1</v>
      </c>
      <c r="C206" s="903" t="s">
        <v>560</v>
      </c>
    </row>
    <row r="207">
      <c r="A207" s="9" t="str">
        <f>IFERROR(__xludf.DUMMYFUNCTION("""COMPUTED_VALUE"""),"Comision Capturista")</f>
        <v>Comision Capturista</v>
      </c>
      <c r="B207" s="913">
        <f>IFERROR(__xludf.DUMMYFUNCTION("""COMPUTED_VALUE"""),250.0)</f>
        <v>250</v>
      </c>
      <c r="C207" s="903" t="s">
        <v>561</v>
      </c>
    </row>
    <row r="208">
      <c r="A208" s="9" t="str">
        <f>IFERROR(__xludf.DUMMYFUNCTION("""COMPUTED_VALUE"""),"CRev check")</f>
        <v>CRev check</v>
      </c>
      <c r="B208" s="42"/>
      <c r="C208" s="903" t="s">
        <v>562</v>
      </c>
    </row>
    <row r="209">
      <c r="A209" s="9" t="str">
        <f>IFERROR(__xludf.DUMMYFUNCTION("""COMPUTED_VALUE"""),"Comision Revisor")</f>
        <v>Comision Revisor</v>
      </c>
      <c r="B209" s="913"/>
      <c r="C209" s="903" t="s">
        <v>563</v>
      </c>
    </row>
    <row r="210">
      <c r="A210" s="9" t="str">
        <f>IFERROR(__xludf.DUMMYFUNCTION("""COMPUTED_VALUE"""),"Comision Intermediario")</f>
        <v>Comision Intermediario</v>
      </c>
      <c r="B210" s="913"/>
      <c r="C210" s="903" t="s">
        <v>564</v>
      </c>
    </row>
    <row r="211">
      <c r="A211" s="9" t="str">
        <f>IFERROR(__xludf.DUMMYFUNCTION("""COMPUTED_VALUE"""),"Modo Entrega")</f>
        <v>Modo Entrega</v>
      </c>
      <c r="B211" s="42" t="str">
        <f>IFERROR(__xludf.DUMMYFUNCTION("""COMPUTED_VALUE"""),"Digital")</f>
        <v>Digital</v>
      </c>
      <c r="C211" s="903" t="s">
        <v>565</v>
      </c>
    </row>
    <row r="212">
      <c r="A212" s="9" t="str">
        <f>IFERROR(__xludf.DUMMYFUNCTION("""COMPUTED_VALUE"""),"URL Archivos")</f>
        <v>URL Archivos</v>
      </c>
      <c r="B212" s="914" t="str">
        <f>IFERROR(__xludf.DUMMYFUNCTION("""COMPUTED_VALUE"""),"https://tinyurl.com/269dxbd3")</f>
        <v>https://tinyurl.com/269dxbd3</v>
      </c>
      <c r="C212" s="915" t="s">
        <v>566</v>
      </c>
    </row>
    <row r="213">
      <c r="A213" s="9" t="str">
        <f>IFERROR(__xludf.DUMMYFUNCTION("""COMPUTED_VALUE"""),"Dirección Maps")</f>
        <v>Dirección Maps</v>
      </c>
      <c r="B213" s="10" t="str">
        <f>IFERROR(__xludf.DUMMYFUNCTION("""COMPUTED_VALUE"""),"Pascal 2164 Colonia San Elias Guadalajara Jalisco 44240")</f>
        <v>Pascal 2164 Colonia San Elias Guadalajara Jalisco 44240</v>
      </c>
      <c r="C213" s="915" t="s">
        <v>567</v>
      </c>
    </row>
    <row r="214">
      <c r="A214" s="9"/>
      <c r="B214" s="42"/>
      <c r="C214" s="916"/>
    </row>
    <row r="215">
      <c r="A215" s="9"/>
      <c r="B215" s="42"/>
      <c r="C215" s="916"/>
    </row>
    <row r="216">
      <c r="A216" s="9"/>
      <c r="B216" s="42"/>
      <c r="C216" s="916"/>
    </row>
    <row r="217">
      <c r="A217" s="9"/>
      <c r="B217" s="42"/>
      <c r="C217" s="916"/>
    </row>
    <row r="218">
      <c r="A218" s="9"/>
      <c r="B218" s="42"/>
      <c r="C218" s="916"/>
    </row>
    <row r="219">
      <c r="A219" s="9"/>
      <c r="B219" s="42"/>
      <c r="C219" s="916"/>
    </row>
    <row r="220">
      <c r="A220" s="9"/>
      <c r="B220" s="42"/>
      <c r="C220" s="916"/>
    </row>
    <row r="221">
      <c r="A221" s="9"/>
      <c r="B221" s="42"/>
      <c r="C221" s="916"/>
    </row>
    <row r="222">
      <c r="A222" s="9"/>
      <c r="B222" s="42"/>
      <c r="C222" s="916"/>
    </row>
    <row r="223">
      <c r="A223" s="9"/>
      <c r="B223" s="42"/>
      <c r="C223" s="916"/>
    </row>
    <row r="224">
      <c r="A224" s="9"/>
      <c r="B224" s="42"/>
      <c r="C224" s="916"/>
    </row>
    <row r="225">
      <c r="A225" s="9"/>
      <c r="B225" s="42"/>
      <c r="C225" s="916"/>
    </row>
    <row r="226">
      <c r="A226" s="9"/>
      <c r="B226" s="42"/>
      <c r="C226" s="916"/>
    </row>
    <row r="227">
      <c r="A227" s="9"/>
      <c r="B227" s="42"/>
      <c r="C227" s="916"/>
    </row>
    <row r="228">
      <c r="A228" s="9"/>
      <c r="B228" s="42"/>
      <c r="C228" s="916"/>
    </row>
    <row r="229">
      <c r="A229" s="9"/>
      <c r="B229" s="42"/>
      <c r="C229" s="916"/>
    </row>
    <row r="230">
      <c r="A230" s="9"/>
      <c r="B230" s="42"/>
      <c r="C230" s="916"/>
    </row>
    <row r="231">
      <c r="A231" s="9"/>
      <c r="B231" s="42"/>
      <c r="C231" s="916"/>
    </row>
    <row r="232">
      <c r="A232" s="9"/>
      <c r="B232" s="42"/>
      <c r="C232" s="916"/>
    </row>
    <row r="233">
      <c r="A233" s="9"/>
      <c r="B233" s="42"/>
      <c r="C233" s="916"/>
    </row>
    <row r="234">
      <c r="A234" s="9"/>
      <c r="B234" s="42"/>
      <c r="C234" s="916"/>
    </row>
    <row r="235">
      <c r="A235" s="9"/>
      <c r="B235" s="42"/>
      <c r="C235" s="916"/>
    </row>
    <row r="236">
      <c r="A236" s="9"/>
      <c r="B236" s="42"/>
      <c r="C236" s="916"/>
    </row>
    <row r="237">
      <c r="A237" s="9"/>
      <c r="B237" s="42"/>
      <c r="C237" s="916"/>
    </row>
    <row r="238">
      <c r="A238" s="9"/>
      <c r="B238" s="42"/>
      <c r="C238" s="916"/>
    </row>
    <row r="239">
      <c r="A239" s="9"/>
      <c r="B239" s="42"/>
      <c r="C239" s="916"/>
    </row>
    <row r="240">
      <c r="A240" s="9"/>
      <c r="B240" s="42"/>
      <c r="C240" s="916"/>
    </row>
    <row r="241">
      <c r="A241" s="9"/>
      <c r="B241" s="42"/>
      <c r="C241" s="916"/>
    </row>
    <row r="242">
      <c r="A242" s="9"/>
      <c r="B242" s="42"/>
      <c r="C242" s="916"/>
    </row>
    <row r="243">
      <c r="A243" s="9"/>
      <c r="B243" s="42"/>
      <c r="C243" s="916"/>
    </row>
    <row r="244">
      <c r="A244" s="9"/>
      <c r="B244" s="42"/>
      <c r="C244" s="916"/>
    </row>
    <row r="245">
      <c r="A245" s="9"/>
      <c r="B245" s="42"/>
      <c r="C245" s="916"/>
    </row>
    <row r="246">
      <c r="A246" s="9"/>
      <c r="B246" s="42"/>
      <c r="C246" s="916"/>
    </row>
    <row r="247">
      <c r="A247" s="9"/>
      <c r="B247" s="42"/>
      <c r="C247" s="916"/>
    </row>
    <row r="248">
      <c r="A248" s="9"/>
      <c r="B248" s="42"/>
      <c r="C248" s="916"/>
    </row>
    <row r="249">
      <c r="A249" s="9"/>
      <c r="B249" s="42"/>
      <c r="C249" s="916"/>
    </row>
    <row r="250">
      <c r="A250" s="9"/>
      <c r="B250" s="42"/>
      <c r="C250" s="916"/>
    </row>
    <row r="251">
      <c r="A251" s="9"/>
      <c r="B251" s="42"/>
      <c r="C251" s="916"/>
    </row>
    <row r="252">
      <c r="A252" s="9"/>
      <c r="B252" s="42"/>
      <c r="C252" s="916"/>
    </row>
    <row r="253">
      <c r="A253" s="9"/>
      <c r="B253" s="42"/>
      <c r="C253" s="916"/>
    </row>
    <row r="254">
      <c r="A254" s="9"/>
      <c r="B254" s="42"/>
      <c r="C254" s="916"/>
    </row>
    <row r="255">
      <c r="A255" s="9"/>
      <c r="B255" s="42"/>
      <c r="C255" s="916"/>
    </row>
    <row r="256">
      <c r="A256" s="9"/>
      <c r="B256" s="42"/>
      <c r="C256" s="916"/>
    </row>
    <row r="257">
      <c r="A257" s="9"/>
      <c r="B257" s="42"/>
      <c r="C257" s="916"/>
    </row>
    <row r="258">
      <c r="A258" s="9"/>
      <c r="B258" s="42"/>
      <c r="C258" s="916"/>
    </row>
    <row r="259">
      <c r="A259" s="9"/>
      <c r="B259" s="42"/>
      <c r="C259" s="916"/>
    </row>
    <row r="260">
      <c r="A260" s="9"/>
      <c r="B260" s="42"/>
      <c r="C260" s="916"/>
    </row>
    <row r="261">
      <c r="A261" s="9"/>
      <c r="B261" s="42"/>
      <c r="C261" s="916"/>
    </row>
    <row r="262">
      <c r="A262" s="9"/>
      <c r="B262" s="42"/>
      <c r="C262" s="916"/>
    </row>
    <row r="263">
      <c r="A263" s="9"/>
      <c r="B263" s="42"/>
      <c r="C263" s="916"/>
    </row>
    <row r="264">
      <c r="A264" s="9"/>
      <c r="B264" s="42"/>
      <c r="C264" s="916"/>
    </row>
    <row r="265">
      <c r="A265" s="9"/>
      <c r="B265" s="42"/>
      <c r="C265" s="916"/>
    </row>
    <row r="266">
      <c r="A266" s="9"/>
      <c r="B266" s="42"/>
      <c r="C266" s="916"/>
    </row>
    <row r="267">
      <c r="A267" s="9"/>
      <c r="B267" s="42"/>
      <c r="C267" s="916"/>
    </row>
    <row r="268">
      <c r="A268" s="9"/>
      <c r="B268" s="42"/>
      <c r="C268" s="916"/>
    </row>
    <row r="269">
      <c r="A269" s="9"/>
      <c r="B269" s="42"/>
      <c r="C269" s="916"/>
    </row>
    <row r="270">
      <c r="A270" s="9"/>
      <c r="B270" s="42"/>
      <c r="C270" s="916"/>
    </row>
    <row r="271">
      <c r="A271" s="9"/>
      <c r="B271" s="42"/>
      <c r="C271" s="916"/>
    </row>
    <row r="272">
      <c r="A272" s="9"/>
      <c r="B272" s="42"/>
      <c r="C272" s="916"/>
    </row>
    <row r="273">
      <c r="A273" s="9"/>
      <c r="B273" s="42"/>
      <c r="C273" s="916"/>
    </row>
    <row r="274">
      <c r="A274" s="9"/>
      <c r="B274" s="42"/>
      <c r="C274" s="916"/>
    </row>
    <row r="275">
      <c r="A275" s="9"/>
      <c r="B275" s="42"/>
      <c r="C275" s="916"/>
    </row>
    <row r="276">
      <c r="A276" s="9"/>
      <c r="B276" s="42"/>
      <c r="C276" s="916"/>
    </row>
    <row r="277">
      <c r="A277" s="9"/>
      <c r="B277" s="42"/>
      <c r="C277" s="916"/>
    </row>
    <row r="278">
      <c r="A278" s="9"/>
      <c r="B278" s="42"/>
      <c r="C278" s="916"/>
    </row>
    <row r="279">
      <c r="A279" s="9"/>
      <c r="B279" s="42"/>
      <c r="C279" s="916"/>
    </row>
    <row r="280">
      <c r="A280" s="9"/>
      <c r="B280" s="42"/>
      <c r="C280" s="916"/>
    </row>
    <row r="281">
      <c r="A281" s="9"/>
      <c r="B281" s="42"/>
      <c r="C281" s="916"/>
    </row>
    <row r="282">
      <c r="A282" s="9"/>
      <c r="B282" s="42"/>
      <c r="C282" s="916"/>
    </row>
    <row r="283">
      <c r="A283" s="9"/>
      <c r="B283" s="42"/>
      <c r="C283" s="916"/>
    </row>
    <row r="284">
      <c r="A284" s="9"/>
      <c r="B284" s="42"/>
      <c r="C284" s="916"/>
    </row>
    <row r="285">
      <c r="A285" s="9"/>
      <c r="B285" s="42"/>
      <c r="C285" s="916"/>
    </row>
    <row r="286">
      <c r="A286" s="9"/>
      <c r="B286" s="42"/>
      <c r="C286" s="916"/>
    </row>
    <row r="287">
      <c r="A287" s="9"/>
      <c r="B287" s="42"/>
      <c r="C287" s="916"/>
    </row>
    <row r="288">
      <c r="A288" s="9"/>
      <c r="B288" s="42"/>
      <c r="C288" s="916"/>
    </row>
    <row r="289">
      <c r="A289" s="9"/>
      <c r="B289" s="42"/>
      <c r="C289" s="916"/>
    </row>
    <row r="290">
      <c r="A290" s="9"/>
      <c r="B290" s="42"/>
      <c r="C290" s="916"/>
    </row>
    <row r="291">
      <c r="A291" s="9"/>
      <c r="B291" s="42"/>
      <c r="C291" s="916"/>
    </row>
    <row r="292">
      <c r="A292" s="9"/>
      <c r="B292" s="42"/>
      <c r="C292" s="916"/>
    </row>
    <row r="293">
      <c r="A293" s="9"/>
      <c r="B293" s="42"/>
      <c r="C293" s="916"/>
    </row>
    <row r="294">
      <c r="A294" s="9"/>
      <c r="B294" s="42"/>
      <c r="C294" s="916"/>
    </row>
    <row r="295">
      <c r="A295" s="9"/>
      <c r="B295" s="42"/>
      <c r="C295" s="916"/>
    </row>
    <row r="296">
      <c r="A296" s="9"/>
      <c r="B296" s="42"/>
      <c r="C296" s="916"/>
    </row>
    <row r="297">
      <c r="A297" s="9"/>
      <c r="B297" s="42"/>
      <c r="C297" s="916"/>
    </row>
    <row r="298">
      <c r="A298" s="9"/>
      <c r="B298" s="42"/>
      <c r="C298" s="916"/>
    </row>
    <row r="299">
      <c r="A299" s="9"/>
      <c r="B299" s="42"/>
      <c r="C299" s="916"/>
    </row>
    <row r="300">
      <c r="A300" s="9"/>
      <c r="B300" s="42"/>
      <c r="C300" s="916"/>
    </row>
    <row r="301">
      <c r="A301" s="9"/>
      <c r="B301" s="42"/>
      <c r="C301" s="916"/>
    </row>
    <row r="302">
      <c r="A302" s="9"/>
      <c r="B302" s="42"/>
      <c r="C302" s="916"/>
    </row>
    <row r="303">
      <c r="A303" s="9"/>
      <c r="B303" s="42"/>
      <c r="C303" s="916"/>
    </row>
    <row r="304">
      <c r="A304" s="9"/>
      <c r="B304" s="42"/>
      <c r="C304" s="916"/>
    </row>
    <row r="305">
      <c r="A305" s="9"/>
      <c r="B305" s="42"/>
      <c r="C305" s="916"/>
    </row>
    <row r="306">
      <c r="A306" s="9"/>
      <c r="B306" s="42"/>
      <c r="C306" s="916"/>
    </row>
    <row r="307">
      <c r="A307" s="9"/>
      <c r="B307" s="42"/>
      <c r="C307" s="916"/>
    </row>
    <row r="308">
      <c r="A308" s="9"/>
      <c r="B308" s="42"/>
      <c r="C308" s="916"/>
    </row>
    <row r="309">
      <c r="A309" s="9"/>
      <c r="B309" s="42"/>
      <c r="C309" s="916"/>
    </row>
    <row r="310">
      <c r="A310" s="9"/>
      <c r="B310" s="42"/>
      <c r="C310" s="916"/>
    </row>
    <row r="311">
      <c r="A311" s="9"/>
      <c r="B311" s="42"/>
      <c r="C311" s="916"/>
    </row>
    <row r="312">
      <c r="A312" s="9"/>
      <c r="B312" s="42"/>
      <c r="C312" s="916"/>
    </row>
    <row r="313">
      <c r="A313" s="9"/>
      <c r="B313" s="42"/>
      <c r="C313" s="916"/>
    </row>
    <row r="314">
      <c r="A314" s="9"/>
      <c r="B314" s="42"/>
      <c r="C314" s="916"/>
    </row>
    <row r="315">
      <c r="A315" s="9"/>
      <c r="B315" s="42"/>
      <c r="C315" s="916"/>
    </row>
    <row r="316">
      <c r="A316" s="9"/>
      <c r="B316" s="42"/>
      <c r="C316" s="916"/>
    </row>
    <row r="317">
      <c r="A317" s="9"/>
      <c r="B317" s="42"/>
      <c r="C317" s="916"/>
    </row>
    <row r="318">
      <c r="A318" s="9"/>
      <c r="B318" s="42"/>
      <c r="C318" s="916"/>
    </row>
    <row r="319">
      <c r="A319" s="9"/>
      <c r="B319" s="42"/>
      <c r="C319" s="916"/>
    </row>
    <row r="320">
      <c r="A320" s="9"/>
      <c r="B320" s="42"/>
      <c r="C320" s="916"/>
    </row>
    <row r="321">
      <c r="A321" s="9"/>
      <c r="B321" s="42"/>
      <c r="C321" s="916"/>
    </row>
    <row r="322">
      <c r="A322" s="9"/>
      <c r="B322" s="42"/>
      <c r="C322" s="916"/>
    </row>
    <row r="323">
      <c r="A323" s="9"/>
      <c r="B323" s="42"/>
      <c r="C323" s="916"/>
    </row>
    <row r="324">
      <c r="A324" s="9"/>
      <c r="B324" s="42"/>
      <c r="C324" s="916"/>
    </row>
    <row r="325">
      <c r="A325" s="9"/>
      <c r="B325" s="42"/>
      <c r="C325" s="916"/>
    </row>
    <row r="326">
      <c r="A326" s="9"/>
      <c r="B326" s="42"/>
      <c r="C326" s="916"/>
    </row>
    <row r="327">
      <c r="A327" s="9"/>
      <c r="B327" s="42"/>
      <c r="C327" s="916"/>
    </row>
    <row r="328">
      <c r="A328" s="9"/>
      <c r="B328" s="42"/>
      <c r="C328" s="916"/>
    </row>
    <row r="329">
      <c r="A329" s="9"/>
      <c r="B329" s="42"/>
      <c r="C329" s="916"/>
    </row>
    <row r="330">
      <c r="A330" s="9"/>
      <c r="B330" s="42"/>
      <c r="C330" s="916"/>
    </row>
    <row r="331">
      <c r="A331" s="9"/>
      <c r="B331" s="42"/>
      <c r="C331" s="916"/>
    </row>
    <row r="332">
      <c r="A332" s="9"/>
      <c r="B332" s="42"/>
      <c r="C332" s="916"/>
    </row>
    <row r="333">
      <c r="A333" s="9"/>
      <c r="B333" s="42"/>
      <c r="C333" s="916"/>
    </row>
    <row r="334">
      <c r="A334" s="9"/>
      <c r="B334" s="42"/>
      <c r="C334" s="916"/>
    </row>
    <row r="335">
      <c r="A335" s="9"/>
      <c r="B335" s="42"/>
      <c r="C335" s="916"/>
    </row>
    <row r="336">
      <c r="A336" s="9"/>
      <c r="B336" s="42"/>
      <c r="C336" s="916"/>
    </row>
    <row r="337">
      <c r="A337" s="9"/>
      <c r="B337" s="42"/>
      <c r="C337" s="916"/>
    </row>
    <row r="338">
      <c r="A338" s="9"/>
      <c r="B338" s="42"/>
      <c r="C338" s="916"/>
    </row>
    <row r="339">
      <c r="A339" s="9"/>
      <c r="B339" s="42"/>
      <c r="C339" s="916"/>
    </row>
    <row r="340">
      <c r="A340" s="9"/>
      <c r="B340" s="42"/>
      <c r="C340" s="916"/>
    </row>
    <row r="341">
      <c r="A341" s="9"/>
      <c r="B341" s="42"/>
      <c r="C341" s="916"/>
    </row>
    <row r="342">
      <c r="A342" s="9"/>
      <c r="B342" s="42"/>
      <c r="C342" s="916"/>
    </row>
    <row r="343">
      <c r="A343" s="9"/>
      <c r="B343" s="42"/>
      <c r="C343" s="916"/>
    </row>
    <row r="344">
      <c r="A344" s="9"/>
      <c r="B344" s="42"/>
      <c r="C344" s="916"/>
    </row>
    <row r="345">
      <c r="A345" s="9"/>
      <c r="B345" s="42"/>
      <c r="C345" s="916"/>
    </row>
    <row r="346">
      <c r="A346" s="9"/>
      <c r="B346" s="42"/>
      <c r="C346" s="916"/>
    </row>
    <row r="347">
      <c r="A347" s="9"/>
      <c r="B347" s="42"/>
      <c r="C347" s="916"/>
    </row>
    <row r="348">
      <c r="A348" s="9"/>
      <c r="B348" s="42"/>
      <c r="C348" s="916"/>
    </row>
    <row r="349">
      <c r="A349" s="9"/>
      <c r="B349" s="42"/>
      <c r="C349" s="916"/>
    </row>
    <row r="350">
      <c r="A350" s="9"/>
      <c r="B350" s="42"/>
      <c r="C350" s="916"/>
    </row>
    <row r="351">
      <c r="A351" s="9"/>
      <c r="B351" s="42"/>
      <c r="C351" s="916"/>
    </row>
    <row r="352">
      <c r="A352" s="9"/>
      <c r="B352" s="42"/>
      <c r="C352" s="916"/>
    </row>
    <row r="353">
      <c r="A353" s="9"/>
      <c r="B353" s="42"/>
      <c r="C353" s="916"/>
    </row>
    <row r="354">
      <c r="A354" s="9"/>
      <c r="B354" s="42"/>
      <c r="C354" s="916"/>
    </row>
    <row r="355">
      <c r="A355" s="9"/>
      <c r="B355" s="42"/>
      <c r="C355" s="916"/>
    </row>
    <row r="356">
      <c r="A356" s="9"/>
      <c r="B356" s="42"/>
      <c r="C356" s="916"/>
    </row>
    <row r="357">
      <c r="A357" s="9"/>
      <c r="B357" s="42"/>
      <c r="C357" s="916"/>
    </row>
    <row r="358">
      <c r="A358" s="9"/>
      <c r="B358" s="42"/>
      <c r="C358" s="916"/>
    </row>
    <row r="359">
      <c r="A359" s="9"/>
      <c r="B359" s="42"/>
      <c r="C359" s="916"/>
    </row>
    <row r="360">
      <c r="A360" s="9"/>
      <c r="B360" s="42"/>
      <c r="C360" s="916"/>
    </row>
    <row r="361">
      <c r="A361" s="9"/>
      <c r="B361" s="42"/>
      <c r="C361" s="916"/>
    </row>
    <row r="362">
      <c r="A362" s="9"/>
      <c r="B362" s="42"/>
      <c r="C362" s="916"/>
    </row>
    <row r="363">
      <c r="A363" s="9"/>
      <c r="B363" s="42"/>
      <c r="C363" s="916"/>
    </row>
    <row r="364">
      <c r="A364" s="9"/>
      <c r="B364" s="42"/>
      <c r="C364" s="916"/>
    </row>
    <row r="365">
      <c r="A365" s="9"/>
      <c r="B365" s="42"/>
      <c r="C365" s="916"/>
    </row>
    <row r="366">
      <c r="A366" s="9"/>
      <c r="B366" s="42"/>
      <c r="C366" s="916"/>
    </row>
    <row r="367">
      <c r="A367" s="9"/>
      <c r="B367" s="42"/>
      <c r="C367" s="916"/>
    </row>
    <row r="368">
      <c r="A368" s="9"/>
      <c r="B368" s="42"/>
      <c r="C368" s="916"/>
    </row>
    <row r="369">
      <c r="A369" s="9"/>
      <c r="B369" s="42"/>
      <c r="C369" s="916"/>
    </row>
    <row r="370">
      <c r="A370" s="9"/>
      <c r="B370" s="42"/>
      <c r="C370" s="916"/>
    </row>
    <row r="371">
      <c r="A371" s="9"/>
      <c r="B371" s="42"/>
      <c r="C371" s="916"/>
    </row>
    <row r="372">
      <c r="A372" s="9"/>
      <c r="B372" s="42"/>
      <c r="C372" s="916"/>
    </row>
    <row r="373">
      <c r="A373" s="9"/>
      <c r="B373" s="42"/>
      <c r="C373" s="916"/>
    </row>
    <row r="374">
      <c r="A374" s="9"/>
      <c r="B374" s="42"/>
      <c r="C374" s="916"/>
    </row>
    <row r="375">
      <c r="A375" s="9"/>
      <c r="B375" s="42"/>
      <c r="C375" s="916"/>
    </row>
    <row r="376">
      <c r="A376" s="9"/>
      <c r="B376" s="42"/>
      <c r="C376" s="916"/>
    </row>
    <row r="377">
      <c r="A377" s="9"/>
      <c r="B377" s="42"/>
      <c r="C377" s="916"/>
    </row>
    <row r="378">
      <c r="A378" s="9"/>
      <c r="B378" s="42"/>
      <c r="C378" s="916"/>
    </row>
    <row r="379">
      <c r="A379" s="9"/>
      <c r="B379" s="42"/>
      <c r="C379" s="916"/>
    </row>
    <row r="380">
      <c r="A380" s="9"/>
      <c r="B380" s="42"/>
      <c r="C380" s="916"/>
    </row>
    <row r="381">
      <c r="A381" s="9"/>
      <c r="B381" s="42"/>
      <c r="C381" s="916"/>
    </row>
    <row r="382">
      <c r="A382" s="9"/>
      <c r="B382" s="42"/>
      <c r="C382" s="916"/>
    </row>
    <row r="383">
      <c r="A383" s="9"/>
      <c r="B383" s="42"/>
      <c r="C383" s="916"/>
    </row>
    <row r="384">
      <c r="A384" s="9"/>
      <c r="B384" s="42"/>
      <c r="C384" s="916"/>
    </row>
    <row r="385">
      <c r="A385" s="9"/>
      <c r="B385" s="42"/>
      <c r="C385" s="916"/>
    </row>
    <row r="386">
      <c r="A386" s="9"/>
      <c r="B386" s="42"/>
      <c r="C386" s="916"/>
    </row>
    <row r="387">
      <c r="A387" s="9"/>
      <c r="B387" s="42"/>
      <c r="C387" s="916"/>
    </row>
    <row r="388">
      <c r="A388" s="9"/>
      <c r="B388" s="42"/>
      <c r="C388" s="916"/>
    </row>
    <row r="389">
      <c r="A389" s="9"/>
      <c r="B389" s="42"/>
      <c r="C389" s="916"/>
    </row>
    <row r="390">
      <c r="A390" s="9"/>
      <c r="B390" s="42"/>
      <c r="C390" s="916"/>
    </row>
    <row r="391">
      <c r="A391" s="9"/>
      <c r="B391" s="42"/>
      <c r="C391" s="916"/>
    </row>
    <row r="392">
      <c r="A392" s="9"/>
      <c r="B392" s="42"/>
      <c r="C392" s="916"/>
    </row>
    <row r="393">
      <c r="A393" s="9"/>
      <c r="B393" s="42"/>
      <c r="C393" s="916"/>
    </row>
    <row r="394">
      <c r="A394" s="9"/>
      <c r="B394" s="42"/>
      <c r="C394" s="916"/>
    </row>
    <row r="395">
      <c r="A395" s="9"/>
      <c r="B395" s="42"/>
      <c r="C395" s="916"/>
    </row>
    <row r="396">
      <c r="A396" s="9"/>
      <c r="B396" s="42"/>
      <c r="C396" s="916"/>
    </row>
    <row r="397">
      <c r="A397" s="9"/>
      <c r="B397" s="42"/>
      <c r="C397" s="916"/>
    </row>
    <row r="398">
      <c r="A398" s="9"/>
      <c r="B398" s="42"/>
      <c r="C398" s="916"/>
    </row>
    <row r="399">
      <c r="A399" s="9"/>
      <c r="B399" s="42"/>
      <c r="C399" s="916"/>
    </row>
    <row r="400">
      <c r="A400" s="9"/>
      <c r="B400" s="42"/>
      <c r="C400" s="916"/>
    </row>
    <row r="401">
      <c r="A401" s="9"/>
      <c r="B401" s="42"/>
      <c r="C401" s="916"/>
    </row>
    <row r="402">
      <c r="A402" s="9"/>
      <c r="B402" s="42"/>
      <c r="C402" s="916"/>
    </row>
    <row r="403">
      <c r="A403" s="9"/>
      <c r="B403" s="42"/>
      <c r="C403" s="916"/>
    </row>
    <row r="404">
      <c r="A404" s="9"/>
      <c r="B404" s="42"/>
      <c r="C404" s="916"/>
    </row>
    <row r="405">
      <c r="A405" s="9"/>
      <c r="B405" s="42"/>
      <c r="C405" s="916"/>
    </row>
    <row r="406">
      <c r="A406" s="9"/>
      <c r="B406" s="42"/>
      <c r="C406" s="916"/>
    </row>
    <row r="407">
      <c r="A407" s="9"/>
      <c r="B407" s="42"/>
      <c r="C407" s="916"/>
    </row>
    <row r="408">
      <c r="A408" s="9"/>
      <c r="B408" s="42"/>
      <c r="C408" s="916"/>
    </row>
    <row r="409">
      <c r="A409" s="9"/>
      <c r="B409" s="42"/>
      <c r="C409" s="916"/>
    </row>
    <row r="410">
      <c r="A410" s="9"/>
      <c r="B410" s="42"/>
      <c r="C410" s="916"/>
    </row>
    <row r="411">
      <c r="A411" s="9"/>
      <c r="B411" s="42"/>
      <c r="C411" s="916"/>
    </row>
    <row r="412">
      <c r="A412" s="9"/>
      <c r="B412" s="42"/>
      <c r="C412" s="916"/>
    </row>
    <row r="413">
      <c r="A413" s="9"/>
      <c r="B413" s="42"/>
      <c r="C413" s="916"/>
    </row>
    <row r="414">
      <c r="A414" s="9"/>
      <c r="B414" s="42"/>
      <c r="C414" s="916"/>
    </row>
    <row r="415">
      <c r="A415" s="9"/>
      <c r="B415" s="42"/>
      <c r="C415" s="916"/>
    </row>
    <row r="416">
      <c r="A416" s="9"/>
      <c r="B416" s="42"/>
      <c r="C416" s="916"/>
    </row>
    <row r="417">
      <c r="A417" s="9"/>
      <c r="B417" s="42"/>
      <c r="C417" s="916"/>
    </row>
    <row r="418">
      <c r="A418" s="9"/>
      <c r="B418" s="42"/>
      <c r="C418" s="916"/>
    </row>
    <row r="419">
      <c r="A419" s="9"/>
      <c r="B419" s="42"/>
      <c r="C419" s="916"/>
    </row>
    <row r="420">
      <c r="A420" s="9"/>
      <c r="B420" s="42"/>
      <c r="C420" s="916"/>
    </row>
    <row r="421">
      <c r="A421" s="9"/>
      <c r="B421" s="42"/>
      <c r="C421" s="916"/>
    </row>
    <row r="422">
      <c r="A422" s="9"/>
      <c r="B422" s="42"/>
      <c r="C422" s="916"/>
    </row>
    <row r="423">
      <c r="A423" s="9"/>
      <c r="B423" s="42"/>
      <c r="C423" s="916"/>
    </row>
    <row r="424">
      <c r="A424" s="9"/>
      <c r="B424" s="42"/>
      <c r="C424" s="916"/>
    </row>
    <row r="425">
      <c r="A425" s="9"/>
      <c r="B425" s="42"/>
      <c r="C425" s="916"/>
    </row>
    <row r="426">
      <c r="A426" s="9"/>
      <c r="B426" s="42"/>
      <c r="C426" s="916"/>
    </row>
    <row r="427">
      <c r="A427" s="9"/>
      <c r="B427" s="42"/>
      <c r="C427" s="916"/>
    </row>
    <row r="428">
      <c r="A428" s="9"/>
      <c r="B428" s="42"/>
      <c r="C428" s="916"/>
    </row>
    <row r="429">
      <c r="A429" s="9"/>
      <c r="B429" s="42"/>
      <c r="C429" s="916"/>
    </row>
    <row r="430">
      <c r="A430" s="9"/>
      <c r="B430" s="42"/>
      <c r="C430" s="916"/>
    </row>
    <row r="431">
      <c r="A431" s="9"/>
      <c r="B431" s="42"/>
      <c r="C431" s="916"/>
    </row>
    <row r="432">
      <c r="A432" s="9"/>
      <c r="B432" s="42"/>
      <c r="C432" s="916"/>
    </row>
    <row r="433">
      <c r="A433" s="9"/>
      <c r="B433" s="42"/>
      <c r="C433" s="916"/>
    </row>
    <row r="434">
      <c r="A434" s="9"/>
      <c r="B434" s="42"/>
      <c r="C434" s="916"/>
    </row>
    <row r="435">
      <c r="A435" s="9"/>
      <c r="B435" s="42"/>
      <c r="C435" s="916"/>
    </row>
    <row r="436">
      <c r="A436" s="9"/>
      <c r="B436" s="42"/>
      <c r="C436" s="916"/>
    </row>
    <row r="437">
      <c r="A437" s="9"/>
      <c r="B437" s="42"/>
      <c r="C437" s="916"/>
    </row>
    <row r="438">
      <c r="A438" s="9"/>
      <c r="B438" s="42"/>
      <c r="C438" s="916"/>
    </row>
    <row r="439">
      <c r="A439" s="9"/>
      <c r="B439" s="42"/>
      <c r="C439" s="916"/>
    </row>
    <row r="440">
      <c r="A440" s="9"/>
      <c r="B440" s="42"/>
      <c r="C440" s="916"/>
    </row>
    <row r="441">
      <c r="A441" s="9"/>
      <c r="B441" s="42"/>
      <c r="C441" s="916"/>
    </row>
    <row r="442">
      <c r="A442" s="9"/>
      <c r="B442" s="42"/>
      <c r="C442" s="916"/>
    </row>
    <row r="443">
      <c r="A443" s="9"/>
      <c r="B443" s="42"/>
      <c r="C443" s="916"/>
    </row>
    <row r="444">
      <c r="A444" s="9"/>
      <c r="B444" s="42"/>
      <c r="C444" s="916"/>
    </row>
    <row r="445">
      <c r="A445" s="9"/>
      <c r="B445" s="42"/>
      <c r="C445" s="916"/>
    </row>
    <row r="446">
      <c r="A446" s="9"/>
      <c r="B446" s="42"/>
      <c r="C446" s="916"/>
    </row>
    <row r="447">
      <c r="A447" s="9"/>
      <c r="B447" s="42"/>
      <c r="C447" s="916"/>
    </row>
    <row r="448">
      <c r="A448" s="9"/>
      <c r="B448" s="42"/>
      <c r="C448" s="916"/>
    </row>
    <row r="449">
      <c r="A449" s="9"/>
      <c r="B449" s="42"/>
      <c r="C449" s="916"/>
    </row>
    <row r="450">
      <c r="A450" s="9"/>
      <c r="B450" s="42"/>
      <c r="C450" s="916"/>
    </row>
    <row r="451">
      <c r="A451" s="9"/>
      <c r="B451" s="42"/>
      <c r="C451" s="916"/>
    </row>
    <row r="452">
      <c r="A452" s="9"/>
      <c r="B452" s="42"/>
      <c r="C452" s="916"/>
    </row>
    <row r="453">
      <c r="A453" s="9"/>
      <c r="B453" s="42"/>
      <c r="C453" s="916"/>
    </row>
    <row r="454">
      <c r="A454" s="9"/>
      <c r="B454" s="42"/>
      <c r="C454" s="916"/>
    </row>
    <row r="455">
      <c r="A455" s="9"/>
      <c r="B455" s="42"/>
      <c r="C455" s="916"/>
    </row>
    <row r="456">
      <c r="A456" s="9"/>
      <c r="B456" s="42"/>
      <c r="C456" s="916"/>
    </row>
    <row r="457">
      <c r="A457" s="9"/>
      <c r="B457" s="42"/>
      <c r="C457" s="916"/>
    </row>
    <row r="458">
      <c r="A458" s="9"/>
      <c r="B458" s="42"/>
      <c r="C458" s="916"/>
    </row>
    <row r="459">
      <c r="A459" s="9"/>
      <c r="B459" s="42"/>
      <c r="C459" s="916"/>
    </row>
    <row r="460">
      <c r="A460" s="9"/>
      <c r="B460" s="42"/>
      <c r="C460" s="916"/>
    </row>
    <row r="461">
      <c r="A461" s="9"/>
      <c r="B461" s="42"/>
      <c r="C461" s="916"/>
    </row>
    <row r="462">
      <c r="A462" s="9"/>
      <c r="B462" s="42"/>
      <c r="C462" s="916"/>
    </row>
    <row r="463">
      <c r="A463" s="9"/>
      <c r="B463" s="42"/>
      <c r="C463" s="916"/>
    </row>
    <row r="464">
      <c r="A464" s="9"/>
      <c r="B464" s="42"/>
      <c r="C464" s="916"/>
    </row>
    <row r="465">
      <c r="A465" s="9"/>
      <c r="B465" s="42"/>
      <c r="C465" s="916"/>
    </row>
    <row r="466">
      <c r="A466" s="9"/>
      <c r="B466" s="42"/>
      <c r="C466" s="916"/>
    </row>
    <row r="467">
      <c r="A467" s="9"/>
      <c r="B467" s="42"/>
      <c r="C467" s="916"/>
    </row>
    <row r="468">
      <c r="A468" s="9"/>
      <c r="B468" s="42"/>
      <c r="C468" s="916"/>
    </row>
    <row r="469">
      <c r="A469" s="9"/>
      <c r="B469" s="42"/>
      <c r="C469" s="916"/>
    </row>
    <row r="470">
      <c r="A470" s="9"/>
      <c r="B470" s="42"/>
      <c r="C470" s="916"/>
    </row>
    <row r="471">
      <c r="A471" s="9"/>
      <c r="B471" s="42"/>
      <c r="C471" s="916"/>
    </row>
    <row r="472">
      <c r="A472" s="9"/>
      <c r="B472" s="42"/>
      <c r="C472" s="916"/>
    </row>
    <row r="473">
      <c r="A473" s="9"/>
      <c r="B473" s="42"/>
      <c r="C473" s="916"/>
    </row>
    <row r="474">
      <c r="A474" s="9"/>
      <c r="B474" s="42"/>
      <c r="C474" s="916"/>
    </row>
    <row r="475">
      <c r="A475" s="9"/>
      <c r="B475" s="42"/>
      <c r="C475" s="916"/>
    </row>
    <row r="476">
      <c r="A476" s="9"/>
      <c r="B476" s="42"/>
      <c r="C476" s="916"/>
    </row>
    <row r="477">
      <c r="A477" s="9"/>
      <c r="B477" s="42"/>
      <c r="C477" s="916"/>
    </row>
    <row r="478">
      <c r="A478" s="9"/>
      <c r="B478" s="42"/>
      <c r="C478" s="916"/>
    </row>
    <row r="479">
      <c r="A479" s="9"/>
      <c r="B479" s="42"/>
      <c r="C479" s="916"/>
    </row>
    <row r="480">
      <c r="A480" s="9"/>
      <c r="B480" s="42"/>
      <c r="C480" s="916"/>
    </row>
    <row r="481">
      <c r="A481" s="9"/>
      <c r="B481" s="42"/>
      <c r="C481" s="916"/>
    </row>
    <row r="482">
      <c r="A482" s="9"/>
      <c r="B482" s="42"/>
      <c r="C482" s="916"/>
    </row>
    <row r="483">
      <c r="A483" s="9"/>
      <c r="B483" s="42"/>
      <c r="C483" s="916"/>
    </row>
    <row r="484">
      <c r="A484" s="9"/>
      <c r="B484" s="42"/>
      <c r="C484" s="916"/>
    </row>
    <row r="485">
      <c r="A485" s="9"/>
      <c r="B485" s="42"/>
      <c r="C485" s="916"/>
    </row>
    <row r="486">
      <c r="A486" s="9"/>
      <c r="B486" s="42"/>
      <c r="C486" s="916"/>
    </row>
    <row r="487">
      <c r="A487" s="9"/>
      <c r="B487" s="42"/>
      <c r="C487" s="916"/>
    </row>
    <row r="488">
      <c r="A488" s="9"/>
      <c r="B488" s="42"/>
      <c r="C488" s="916"/>
    </row>
    <row r="489">
      <c r="A489" s="9"/>
      <c r="B489" s="42"/>
      <c r="C489" s="916"/>
    </row>
    <row r="490">
      <c r="A490" s="9"/>
      <c r="B490" s="42"/>
      <c r="C490" s="916"/>
    </row>
    <row r="491">
      <c r="A491" s="9"/>
      <c r="B491" s="42"/>
      <c r="C491" s="916"/>
    </row>
    <row r="492">
      <c r="A492" s="9"/>
      <c r="B492" s="42"/>
      <c r="C492" s="916"/>
    </row>
    <row r="493">
      <c r="A493" s="9"/>
      <c r="B493" s="42"/>
      <c r="C493" s="916"/>
    </row>
    <row r="494">
      <c r="A494" s="9"/>
      <c r="B494" s="42"/>
      <c r="C494" s="916"/>
    </row>
    <row r="495">
      <c r="A495" s="9"/>
      <c r="B495" s="42"/>
      <c r="C495" s="916"/>
    </row>
    <row r="496">
      <c r="A496" s="9"/>
      <c r="B496" s="42"/>
      <c r="C496" s="916"/>
    </row>
    <row r="497">
      <c r="A497" s="9"/>
      <c r="B497" s="42"/>
      <c r="C497" s="916"/>
    </row>
    <row r="498">
      <c r="A498" s="9"/>
      <c r="B498" s="42"/>
      <c r="C498" s="916"/>
    </row>
    <row r="499">
      <c r="A499" s="9"/>
      <c r="B499" s="42"/>
      <c r="C499" s="916"/>
    </row>
    <row r="500">
      <c r="A500" s="9"/>
      <c r="B500" s="42"/>
      <c r="C500" s="916"/>
    </row>
    <row r="501">
      <c r="A501" s="9"/>
      <c r="B501" s="42"/>
      <c r="C501" s="916"/>
    </row>
    <row r="502">
      <c r="A502" s="9"/>
      <c r="B502" s="42"/>
      <c r="C502" s="916"/>
    </row>
    <row r="503">
      <c r="A503" s="9"/>
      <c r="B503" s="42"/>
      <c r="C503" s="916"/>
    </row>
    <row r="504">
      <c r="A504" s="9"/>
      <c r="B504" s="42"/>
      <c r="C504" s="916"/>
    </row>
    <row r="505">
      <c r="A505" s="9"/>
      <c r="B505" s="42"/>
      <c r="C505" s="916"/>
    </row>
    <row r="506">
      <c r="A506" s="9"/>
      <c r="B506" s="42"/>
      <c r="C506" s="916"/>
    </row>
    <row r="507">
      <c r="A507" s="9"/>
      <c r="B507" s="42"/>
      <c r="C507" s="916"/>
    </row>
    <row r="508">
      <c r="A508" s="9"/>
      <c r="B508" s="42"/>
      <c r="C508" s="916"/>
    </row>
    <row r="509">
      <c r="A509" s="9"/>
      <c r="B509" s="42"/>
      <c r="C509" s="916"/>
    </row>
    <row r="510">
      <c r="A510" s="9"/>
      <c r="B510" s="42"/>
      <c r="C510" s="916"/>
    </row>
    <row r="511">
      <c r="A511" s="9"/>
      <c r="B511" s="42"/>
      <c r="C511" s="916"/>
    </row>
    <row r="512">
      <c r="A512" s="9"/>
      <c r="B512" s="42"/>
      <c r="C512" s="916"/>
    </row>
    <row r="513">
      <c r="A513" s="9"/>
      <c r="B513" s="42"/>
      <c r="C513" s="916"/>
    </row>
    <row r="514">
      <c r="A514" s="9"/>
      <c r="B514" s="42"/>
      <c r="C514" s="916"/>
    </row>
    <row r="515">
      <c r="A515" s="9"/>
      <c r="B515" s="42"/>
      <c r="C515" s="916"/>
    </row>
    <row r="516">
      <c r="A516" s="9"/>
      <c r="B516" s="42"/>
      <c r="C516" s="916"/>
    </row>
    <row r="517">
      <c r="A517" s="9"/>
      <c r="B517" s="42"/>
      <c r="C517" s="916"/>
    </row>
    <row r="518">
      <c r="A518" s="9"/>
      <c r="B518" s="42"/>
      <c r="C518" s="916"/>
    </row>
    <row r="519">
      <c r="A519" s="9"/>
      <c r="B519" s="42"/>
      <c r="C519" s="916"/>
    </row>
    <row r="520">
      <c r="A520" s="9"/>
      <c r="B520" s="42"/>
      <c r="C520" s="916"/>
    </row>
    <row r="521">
      <c r="A521" s="9"/>
      <c r="B521" s="42"/>
      <c r="C521" s="916"/>
    </row>
    <row r="522">
      <c r="A522" s="9"/>
      <c r="B522" s="42"/>
      <c r="C522" s="916"/>
    </row>
    <row r="523">
      <c r="A523" s="9"/>
      <c r="B523" s="42"/>
      <c r="C523" s="916"/>
    </row>
    <row r="524">
      <c r="A524" s="9"/>
      <c r="B524" s="42"/>
      <c r="C524" s="916"/>
    </row>
    <row r="525">
      <c r="A525" s="9"/>
      <c r="B525" s="42"/>
      <c r="C525" s="916"/>
    </row>
    <row r="526">
      <c r="A526" s="9"/>
      <c r="B526" s="42"/>
      <c r="C526" s="916"/>
    </row>
    <row r="527">
      <c r="A527" s="9"/>
      <c r="B527" s="42"/>
      <c r="C527" s="916"/>
    </row>
    <row r="528">
      <c r="A528" s="9"/>
      <c r="B528" s="42"/>
      <c r="C528" s="916"/>
    </row>
    <row r="529">
      <c r="A529" s="9"/>
      <c r="B529" s="42"/>
      <c r="C529" s="916"/>
    </row>
    <row r="530">
      <c r="A530" s="9"/>
      <c r="B530" s="42"/>
      <c r="C530" s="916"/>
    </row>
    <row r="531">
      <c r="A531" s="9"/>
      <c r="B531" s="42"/>
      <c r="C531" s="916"/>
    </row>
    <row r="532">
      <c r="A532" s="9"/>
      <c r="B532" s="42"/>
      <c r="C532" s="916"/>
    </row>
    <row r="533">
      <c r="A533" s="9"/>
      <c r="B533" s="42"/>
      <c r="C533" s="916"/>
    </row>
    <row r="534">
      <c r="A534" s="9"/>
      <c r="B534" s="42"/>
      <c r="C534" s="916"/>
    </row>
    <row r="535">
      <c r="A535" s="9"/>
      <c r="B535" s="42"/>
      <c r="C535" s="916"/>
    </row>
    <row r="536">
      <c r="A536" s="9"/>
      <c r="B536" s="42"/>
      <c r="C536" s="916"/>
    </row>
    <row r="537">
      <c r="A537" s="9"/>
      <c r="B537" s="42"/>
      <c r="C537" s="916"/>
    </row>
    <row r="538">
      <c r="A538" s="9"/>
      <c r="B538" s="42"/>
      <c r="C538" s="916"/>
    </row>
    <row r="539">
      <c r="A539" s="9"/>
      <c r="B539" s="42"/>
      <c r="C539" s="916"/>
    </row>
    <row r="540">
      <c r="A540" s="9"/>
      <c r="B540" s="42"/>
      <c r="C540" s="916"/>
    </row>
    <row r="541">
      <c r="A541" s="9"/>
      <c r="B541" s="42"/>
      <c r="C541" s="916"/>
    </row>
    <row r="542">
      <c r="A542" s="9"/>
      <c r="B542" s="42"/>
      <c r="C542" s="916"/>
    </row>
    <row r="543">
      <c r="A543" s="9"/>
      <c r="B543" s="42"/>
      <c r="C543" s="916"/>
    </row>
    <row r="544">
      <c r="A544" s="9"/>
      <c r="B544" s="42"/>
      <c r="C544" s="916"/>
    </row>
    <row r="545">
      <c r="A545" s="9"/>
      <c r="B545" s="42"/>
      <c r="C545" s="916"/>
    </row>
    <row r="546">
      <c r="A546" s="9"/>
      <c r="B546" s="42"/>
      <c r="C546" s="916"/>
    </row>
    <row r="547">
      <c r="A547" s="9"/>
      <c r="B547" s="42"/>
      <c r="C547" s="916"/>
    </row>
    <row r="548">
      <c r="A548" s="9"/>
      <c r="B548" s="42"/>
      <c r="C548" s="916"/>
    </row>
    <row r="549">
      <c r="A549" s="9"/>
      <c r="B549" s="42"/>
      <c r="C549" s="916"/>
    </row>
    <row r="550">
      <c r="A550" s="9"/>
      <c r="B550" s="42"/>
      <c r="C550" s="916"/>
    </row>
    <row r="551">
      <c r="A551" s="9"/>
      <c r="B551" s="42"/>
      <c r="C551" s="916"/>
    </row>
    <row r="552">
      <c r="A552" s="9"/>
      <c r="B552" s="42"/>
      <c r="C552" s="916"/>
    </row>
    <row r="553">
      <c r="A553" s="9"/>
      <c r="B553" s="42"/>
      <c r="C553" s="916"/>
    </row>
    <row r="554">
      <c r="A554" s="9"/>
      <c r="B554" s="42"/>
      <c r="C554" s="916"/>
    </row>
    <row r="555">
      <c r="A555" s="9"/>
      <c r="B555" s="42"/>
      <c r="C555" s="916"/>
    </row>
    <row r="556">
      <c r="A556" s="9"/>
      <c r="B556" s="42"/>
      <c r="C556" s="916"/>
    </row>
    <row r="557">
      <c r="A557" s="9"/>
      <c r="B557" s="42"/>
      <c r="C557" s="916"/>
    </row>
    <row r="558">
      <c r="A558" s="9"/>
      <c r="B558" s="42"/>
      <c r="C558" s="916"/>
    </row>
    <row r="559">
      <c r="A559" s="9"/>
      <c r="B559" s="42"/>
      <c r="C559" s="916"/>
    </row>
    <row r="560">
      <c r="A560" s="9"/>
      <c r="B560" s="42"/>
      <c r="C560" s="916"/>
    </row>
    <row r="561">
      <c r="A561" s="9"/>
      <c r="B561" s="42"/>
      <c r="C561" s="916"/>
    </row>
    <row r="562">
      <c r="A562" s="9"/>
      <c r="B562" s="42"/>
      <c r="C562" s="916"/>
    </row>
    <row r="563">
      <c r="A563" s="9"/>
      <c r="B563" s="42"/>
      <c r="C563" s="916"/>
    </row>
    <row r="564">
      <c r="A564" s="9"/>
      <c r="B564" s="42"/>
      <c r="C564" s="916"/>
    </row>
    <row r="565">
      <c r="A565" s="9"/>
      <c r="B565" s="42"/>
      <c r="C565" s="916"/>
    </row>
    <row r="566">
      <c r="A566" s="9"/>
      <c r="B566" s="42"/>
      <c r="C566" s="916"/>
    </row>
    <row r="567">
      <c r="A567" s="9"/>
      <c r="B567" s="42"/>
      <c r="C567" s="916"/>
    </row>
    <row r="568">
      <c r="A568" s="9"/>
      <c r="B568" s="42"/>
      <c r="C568" s="916"/>
    </row>
    <row r="569">
      <c r="A569" s="9"/>
      <c r="B569" s="42"/>
      <c r="C569" s="916"/>
    </row>
    <row r="570">
      <c r="A570" s="9"/>
      <c r="B570" s="42"/>
      <c r="C570" s="916"/>
    </row>
    <row r="571">
      <c r="A571" s="9"/>
      <c r="B571" s="42"/>
      <c r="C571" s="916"/>
    </row>
    <row r="572">
      <c r="A572" s="9"/>
      <c r="B572" s="42"/>
      <c r="C572" s="916"/>
    </row>
    <row r="573">
      <c r="A573" s="9"/>
      <c r="B573" s="42"/>
      <c r="C573" s="916"/>
    </row>
    <row r="574">
      <c r="A574" s="9"/>
      <c r="B574" s="42"/>
      <c r="C574" s="916"/>
    </row>
    <row r="575">
      <c r="A575" s="9"/>
      <c r="B575" s="42"/>
      <c r="C575" s="916"/>
    </row>
    <row r="576">
      <c r="A576" s="9"/>
      <c r="B576" s="42"/>
      <c r="C576" s="916"/>
    </row>
    <row r="577">
      <c r="A577" s="9"/>
      <c r="B577" s="42"/>
      <c r="C577" s="916"/>
    </row>
    <row r="578">
      <c r="A578" s="9"/>
      <c r="B578" s="42"/>
      <c r="C578" s="916"/>
    </row>
    <row r="579">
      <c r="A579" s="9"/>
      <c r="B579" s="42"/>
      <c r="C579" s="916"/>
    </row>
    <row r="580">
      <c r="A580" s="9"/>
      <c r="B580" s="42"/>
      <c r="C580" s="916"/>
    </row>
    <row r="581">
      <c r="A581" s="9"/>
      <c r="B581" s="42"/>
      <c r="C581" s="916"/>
    </row>
    <row r="582">
      <c r="A582" s="9"/>
      <c r="B582" s="42"/>
      <c r="C582" s="916"/>
    </row>
    <row r="583">
      <c r="A583" s="9"/>
      <c r="B583" s="42"/>
      <c r="C583" s="916"/>
    </row>
    <row r="584">
      <c r="A584" s="9"/>
      <c r="B584" s="42"/>
      <c r="C584" s="916"/>
    </row>
    <row r="585">
      <c r="A585" s="9"/>
      <c r="B585" s="42"/>
      <c r="C585" s="916"/>
    </row>
    <row r="586">
      <c r="A586" s="9"/>
      <c r="B586" s="42"/>
      <c r="C586" s="916"/>
    </row>
    <row r="587">
      <c r="A587" s="9"/>
      <c r="B587" s="42"/>
      <c r="C587" s="916"/>
    </row>
    <row r="588">
      <c r="A588" s="9"/>
      <c r="B588" s="42"/>
      <c r="C588" s="916"/>
    </row>
    <row r="589">
      <c r="A589" s="9"/>
      <c r="B589" s="42"/>
      <c r="C589" s="916"/>
    </row>
    <row r="590">
      <c r="A590" s="9"/>
      <c r="B590" s="42"/>
      <c r="C590" s="916"/>
    </row>
    <row r="591">
      <c r="A591" s="9"/>
      <c r="B591" s="42"/>
      <c r="C591" s="916"/>
    </row>
    <row r="592">
      <c r="A592" s="9"/>
      <c r="B592" s="42"/>
      <c r="C592" s="916"/>
    </row>
    <row r="593">
      <c r="A593" s="9"/>
      <c r="B593" s="42"/>
      <c r="C593" s="916"/>
    </row>
    <row r="594">
      <c r="A594" s="9"/>
      <c r="B594" s="42"/>
      <c r="C594" s="916"/>
    </row>
    <row r="595">
      <c r="A595" s="9"/>
      <c r="B595" s="42"/>
      <c r="C595" s="916"/>
    </row>
    <row r="596">
      <c r="A596" s="9"/>
      <c r="B596" s="42"/>
      <c r="C596" s="916"/>
    </row>
    <row r="597">
      <c r="A597" s="9"/>
      <c r="B597" s="42"/>
      <c r="C597" s="916"/>
    </row>
    <row r="598">
      <c r="A598" s="9"/>
      <c r="B598" s="42"/>
      <c r="C598" s="916"/>
    </row>
    <row r="599">
      <c r="A599" s="9"/>
      <c r="B599" s="42"/>
      <c r="C599" s="916"/>
    </row>
    <row r="600">
      <c r="A600" s="9"/>
      <c r="B600" s="42"/>
      <c r="C600" s="916"/>
    </row>
    <row r="601">
      <c r="A601" s="9"/>
      <c r="B601" s="42"/>
      <c r="C601" s="916"/>
    </row>
    <row r="602">
      <c r="A602" s="9"/>
      <c r="B602" s="42"/>
      <c r="C602" s="916"/>
    </row>
    <row r="603">
      <c r="A603" s="9"/>
      <c r="B603" s="42"/>
      <c r="C603" s="916"/>
    </row>
    <row r="604">
      <c r="A604" s="9"/>
      <c r="B604" s="42"/>
      <c r="C604" s="916"/>
    </row>
    <row r="605">
      <c r="A605" s="9"/>
      <c r="B605" s="42"/>
      <c r="C605" s="916"/>
    </row>
    <row r="606">
      <c r="A606" s="9"/>
      <c r="B606" s="42"/>
      <c r="C606" s="916"/>
    </row>
    <row r="607">
      <c r="A607" s="9"/>
      <c r="B607" s="42"/>
      <c r="C607" s="916"/>
    </row>
    <row r="608">
      <c r="A608" s="9"/>
      <c r="B608" s="42"/>
      <c r="C608" s="916"/>
    </row>
    <row r="609">
      <c r="A609" s="9"/>
      <c r="B609" s="42"/>
      <c r="C609" s="916"/>
    </row>
    <row r="610">
      <c r="A610" s="9"/>
      <c r="B610" s="42"/>
      <c r="C610" s="916"/>
    </row>
    <row r="611">
      <c r="A611" s="9"/>
      <c r="B611" s="42"/>
      <c r="C611" s="916"/>
    </row>
    <row r="612">
      <c r="A612" s="9"/>
      <c r="B612" s="42"/>
      <c r="C612" s="916"/>
    </row>
    <row r="613">
      <c r="A613" s="9"/>
      <c r="B613" s="42"/>
      <c r="C613" s="916"/>
    </row>
    <row r="614">
      <c r="A614" s="9"/>
      <c r="B614" s="42"/>
      <c r="C614" s="916"/>
    </row>
    <row r="615">
      <c r="A615" s="9"/>
      <c r="B615" s="42"/>
      <c r="C615" s="916"/>
    </row>
    <row r="616">
      <c r="A616" s="9"/>
      <c r="B616" s="42"/>
      <c r="C616" s="916"/>
    </row>
    <row r="617">
      <c r="A617" s="9"/>
      <c r="B617" s="42"/>
      <c r="C617" s="916"/>
    </row>
    <row r="618">
      <c r="A618" s="9"/>
      <c r="B618" s="42"/>
      <c r="C618" s="916"/>
    </row>
    <row r="619">
      <c r="A619" s="9"/>
      <c r="B619" s="42"/>
      <c r="C619" s="916"/>
    </row>
    <row r="620">
      <c r="A620" s="9"/>
      <c r="B620" s="42"/>
      <c r="C620" s="916"/>
    </row>
    <row r="621">
      <c r="A621" s="9"/>
      <c r="B621" s="42"/>
      <c r="C621" s="916"/>
    </row>
    <row r="622">
      <c r="A622" s="9"/>
      <c r="B622" s="42"/>
      <c r="C622" s="916"/>
    </row>
    <row r="623">
      <c r="A623" s="9"/>
      <c r="B623" s="42"/>
      <c r="C623" s="916"/>
    </row>
    <row r="624">
      <c r="A624" s="9"/>
      <c r="B624" s="42"/>
      <c r="C624" s="916"/>
    </row>
    <row r="625">
      <c r="A625" s="9"/>
      <c r="B625" s="42"/>
      <c r="C625" s="916"/>
    </row>
    <row r="626">
      <c r="A626" s="9"/>
      <c r="B626" s="42"/>
      <c r="C626" s="916"/>
    </row>
    <row r="627">
      <c r="A627" s="9"/>
      <c r="B627" s="42"/>
      <c r="C627" s="916"/>
    </row>
    <row r="628">
      <c r="A628" s="9"/>
      <c r="B628" s="42"/>
      <c r="C628" s="916"/>
    </row>
    <row r="629">
      <c r="A629" s="9"/>
      <c r="B629" s="42"/>
      <c r="C629" s="916"/>
    </row>
    <row r="630">
      <c r="A630" s="9"/>
      <c r="B630" s="42"/>
      <c r="C630" s="916"/>
    </row>
    <row r="631">
      <c r="A631" s="9"/>
      <c r="B631" s="42"/>
      <c r="C631" s="916"/>
    </row>
    <row r="632">
      <c r="A632" s="9"/>
      <c r="B632" s="42"/>
      <c r="C632" s="916"/>
    </row>
    <row r="633">
      <c r="A633" s="9"/>
      <c r="B633" s="42"/>
      <c r="C633" s="916"/>
    </row>
    <row r="634">
      <c r="A634" s="9"/>
      <c r="B634" s="42"/>
      <c r="C634" s="916"/>
    </row>
    <row r="635">
      <c r="A635" s="9"/>
      <c r="B635" s="42"/>
      <c r="C635" s="916"/>
    </row>
    <row r="636">
      <c r="A636" s="9"/>
      <c r="B636" s="42"/>
      <c r="C636" s="916"/>
    </row>
    <row r="637">
      <c r="A637" s="9"/>
      <c r="B637" s="42"/>
      <c r="C637" s="916"/>
    </row>
    <row r="638">
      <c r="A638" s="9"/>
      <c r="B638" s="42"/>
      <c r="C638" s="916"/>
    </row>
    <row r="639">
      <c r="A639" s="9"/>
      <c r="B639" s="42"/>
      <c r="C639" s="916"/>
    </row>
    <row r="640">
      <c r="A640" s="9"/>
      <c r="B640" s="42"/>
      <c r="C640" s="916"/>
    </row>
    <row r="641">
      <c r="A641" s="9"/>
      <c r="B641" s="42"/>
      <c r="C641" s="916"/>
    </row>
    <row r="642">
      <c r="A642" s="9"/>
      <c r="B642" s="42"/>
      <c r="C642" s="916"/>
    </row>
    <row r="643">
      <c r="A643" s="9"/>
      <c r="B643" s="42"/>
      <c r="C643" s="916"/>
    </row>
    <row r="644">
      <c r="A644" s="9"/>
      <c r="B644" s="42"/>
      <c r="C644" s="916"/>
    </row>
    <row r="645">
      <c r="A645" s="9"/>
      <c r="B645" s="42"/>
      <c r="C645" s="916"/>
    </row>
    <row r="646">
      <c r="A646" s="9"/>
      <c r="B646" s="42"/>
      <c r="C646" s="916"/>
    </row>
    <row r="647">
      <c r="A647" s="9"/>
      <c r="B647" s="42"/>
      <c r="C647" s="916"/>
    </row>
    <row r="648">
      <c r="A648" s="9"/>
      <c r="B648" s="42"/>
      <c r="C648" s="916"/>
    </row>
    <row r="649">
      <c r="A649" s="9"/>
      <c r="B649" s="42"/>
      <c r="C649" s="916"/>
    </row>
    <row r="650">
      <c r="A650" s="9"/>
      <c r="B650" s="42"/>
      <c r="C650" s="916"/>
    </row>
    <row r="651">
      <c r="A651" s="9"/>
      <c r="B651" s="42"/>
      <c r="C651" s="916"/>
    </row>
    <row r="652">
      <c r="A652" s="9"/>
      <c r="B652" s="42"/>
      <c r="C652" s="916"/>
    </row>
    <row r="653">
      <c r="A653" s="9"/>
      <c r="B653" s="42"/>
      <c r="C653" s="916"/>
    </row>
    <row r="654">
      <c r="A654" s="9"/>
      <c r="B654" s="42"/>
      <c r="C654" s="916"/>
    </row>
    <row r="655">
      <c r="A655" s="9"/>
      <c r="B655" s="42"/>
      <c r="C655" s="916"/>
    </row>
    <row r="656">
      <c r="A656" s="9"/>
      <c r="B656" s="42"/>
      <c r="C656" s="916"/>
    </row>
    <row r="657">
      <c r="A657" s="9"/>
      <c r="B657" s="42"/>
      <c r="C657" s="916"/>
    </row>
    <row r="658">
      <c r="A658" s="9"/>
      <c r="B658" s="42"/>
      <c r="C658" s="916"/>
    </row>
    <row r="659">
      <c r="A659" s="9"/>
      <c r="B659" s="42"/>
      <c r="C659" s="916"/>
    </row>
    <row r="660">
      <c r="A660" s="9"/>
      <c r="B660" s="42"/>
      <c r="C660" s="916"/>
    </row>
    <row r="661">
      <c r="A661" s="9"/>
      <c r="B661" s="42"/>
      <c r="C661" s="916"/>
    </row>
    <row r="662">
      <c r="A662" s="9"/>
      <c r="B662" s="42"/>
      <c r="C662" s="916"/>
    </row>
    <row r="663">
      <c r="A663" s="9"/>
      <c r="B663" s="42"/>
      <c r="C663" s="916"/>
    </row>
    <row r="664">
      <c r="A664" s="9"/>
      <c r="B664" s="42"/>
      <c r="C664" s="916"/>
    </row>
    <row r="665">
      <c r="A665" s="9"/>
      <c r="B665" s="42"/>
      <c r="C665" s="916"/>
    </row>
    <row r="666">
      <c r="A666" s="9"/>
      <c r="B666" s="42"/>
      <c r="C666" s="916"/>
    </row>
    <row r="667">
      <c r="A667" s="9"/>
      <c r="B667" s="42"/>
      <c r="C667" s="916"/>
    </row>
    <row r="668">
      <c r="A668" s="9"/>
      <c r="B668" s="42"/>
      <c r="C668" s="916"/>
    </row>
    <row r="669">
      <c r="A669" s="9"/>
      <c r="B669" s="42"/>
      <c r="C669" s="916"/>
    </row>
    <row r="670">
      <c r="A670" s="9"/>
      <c r="B670" s="42"/>
      <c r="C670" s="916"/>
    </row>
    <row r="671">
      <c r="A671" s="9"/>
      <c r="B671" s="42"/>
      <c r="C671" s="916"/>
    </row>
    <row r="672">
      <c r="A672" s="9"/>
      <c r="B672" s="42"/>
      <c r="C672" s="916"/>
    </row>
    <row r="673">
      <c r="A673" s="9"/>
      <c r="B673" s="42"/>
      <c r="C673" s="916"/>
    </row>
    <row r="674">
      <c r="A674" s="9"/>
      <c r="B674" s="42"/>
      <c r="C674" s="916"/>
    </row>
    <row r="675">
      <c r="A675" s="9"/>
      <c r="B675" s="42"/>
      <c r="C675" s="916"/>
    </row>
    <row r="676">
      <c r="A676" s="9"/>
      <c r="B676" s="42"/>
      <c r="C676" s="916"/>
    </row>
    <row r="677">
      <c r="A677" s="9"/>
      <c r="B677" s="42"/>
      <c r="C677" s="916"/>
    </row>
    <row r="678">
      <c r="A678" s="9"/>
      <c r="B678" s="42"/>
      <c r="C678" s="916"/>
    </row>
    <row r="679">
      <c r="A679" s="9"/>
      <c r="B679" s="42"/>
      <c r="C679" s="916"/>
    </row>
    <row r="680">
      <c r="A680" s="9"/>
      <c r="B680" s="42"/>
      <c r="C680" s="916"/>
    </row>
    <row r="681">
      <c r="A681" s="9"/>
      <c r="B681" s="42"/>
      <c r="C681" s="916"/>
    </row>
    <row r="682">
      <c r="A682" s="9"/>
      <c r="B682" s="42"/>
      <c r="C682" s="916"/>
    </row>
    <row r="683">
      <c r="A683" s="9"/>
      <c r="B683" s="42"/>
      <c r="C683" s="916"/>
    </row>
    <row r="684">
      <c r="A684" s="9"/>
      <c r="B684" s="42"/>
      <c r="C684" s="916"/>
    </row>
    <row r="685">
      <c r="A685" s="9"/>
      <c r="B685" s="42"/>
      <c r="C685" s="916"/>
    </row>
    <row r="686">
      <c r="A686" s="9"/>
      <c r="B686" s="42"/>
      <c r="C686" s="916"/>
    </row>
    <row r="687">
      <c r="A687" s="9"/>
      <c r="B687" s="42"/>
      <c r="C687" s="916"/>
    </row>
    <row r="688">
      <c r="A688" s="9"/>
      <c r="B688" s="42"/>
      <c r="C688" s="916"/>
    </row>
    <row r="689">
      <c r="A689" s="9"/>
      <c r="B689" s="42"/>
      <c r="C689" s="916"/>
    </row>
    <row r="690">
      <c r="A690" s="9"/>
      <c r="B690" s="42"/>
      <c r="C690" s="916"/>
    </row>
    <row r="691">
      <c r="A691" s="9"/>
      <c r="B691" s="42"/>
      <c r="C691" s="916"/>
    </row>
    <row r="692">
      <c r="A692" s="9"/>
      <c r="B692" s="42"/>
      <c r="C692" s="916"/>
    </row>
    <row r="693">
      <c r="A693" s="9"/>
      <c r="B693" s="42"/>
      <c r="C693" s="916"/>
    </row>
    <row r="694">
      <c r="A694" s="9"/>
      <c r="B694" s="42"/>
      <c r="C694" s="916"/>
    </row>
    <row r="695">
      <c r="A695" s="9"/>
      <c r="B695" s="42"/>
      <c r="C695" s="916"/>
    </row>
    <row r="696">
      <c r="A696" s="9"/>
      <c r="B696" s="42"/>
      <c r="C696" s="916"/>
    </row>
    <row r="697">
      <c r="A697" s="9"/>
      <c r="B697" s="42"/>
      <c r="C697" s="916"/>
    </row>
    <row r="698">
      <c r="A698" s="9"/>
      <c r="B698" s="42"/>
      <c r="C698" s="916"/>
    </row>
    <row r="699">
      <c r="A699" s="9"/>
      <c r="B699" s="42"/>
      <c r="C699" s="916"/>
    </row>
    <row r="700">
      <c r="A700" s="9"/>
      <c r="B700" s="42"/>
      <c r="C700" s="916"/>
    </row>
    <row r="701">
      <c r="A701" s="9"/>
      <c r="B701" s="42"/>
      <c r="C701" s="916"/>
    </row>
    <row r="702">
      <c r="A702" s="9"/>
      <c r="B702" s="42"/>
      <c r="C702" s="916"/>
    </row>
    <row r="703">
      <c r="A703" s="9"/>
      <c r="B703" s="42"/>
      <c r="C703" s="916"/>
    </row>
    <row r="704">
      <c r="A704" s="9"/>
      <c r="B704" s="42"/>
      <c r="C704" s="916"/>
    </row>
    <row r="705">
      <c r="A705" s="9"/>
      <c r="B705" s="42"/>
      <c r="C705" s="916"/>
    </row>
    <row r="706">
      <c r="A706" s="9"/>
      <c r="B706" s="42"/>
      <c r="C706" s="916"/>
    </row>
    <row r="707">
      <c r="A707" s="9"/>
      <c r="B707" s="42"/>
      <c r="C707" s="916"/>
    </row>
    <row r="708">
      <c r="A708" s="9"/>
      <c r="B708" s="42"/>
      <c r="C708" s="916"/>
    </row>
    <row r="709">
      <c r="A709" s="9"/>
      <c r="B709" s="42"/>
      <c r="C709" s="916"/>
    </row>
    <row r="710">
      <c r="A710" s="9"/>
      <c r="B710" s="42"/>
      <c r="C710" s="916"/>
    </row>
    <row r="711">
      <c r="A711" s="9"/>
      <c r="B711" s="42"/>
      <c r="C711" s="916"/>
    </row>
    <row r="712">
      <c r="A712" s="9"/>
      <c r="B712" s="42"/>
      <c r="C712" s="916"/>
    </row>
    <row r="713">
      <c r="A713" s="9"/>
      <c r="B713" s="42"/>
      <c r="C713" s="916"/>
    </row>
    <row r="714">
      <c r="A714" s="9"/>
      <c r="B714" s="42"/>
      <c r="C714" s="916"/>
    </row>
    <row r="715">
      <c r="A715" s="9"/>
      <c r="B715" s="42"/>
      <c r="C715" s="916"/>
    </row>
    <row r="716">
      <c r="A716" s="9"/>
      <c r="B716" s="42"/>
      <c r="C716" s="916"/>
    </row>
    <row r="717">
      <c r="A717" s="9"/>
      <c r="B717" s="42"/>
      <c r="C717" s="916"/>
    </row>
    <row r="718">
      <c r="A718" s="9"/>
      <c r="B718" s="42"/>
      <c r="C718" s="916"/>
    </row>
    <row r="719">
      <c r="A719" s="9"/>
      <c r="B719" s="42"/>
      <c r="C719" s="916"/>
    </row>
    <row r="720">
      <c r="A720" s="9"/>
      <c r="B720" s="42"/>
      <c r="C720" s="916"/>
    </row>
    <row r="721">
      <c r="A721" s="9"/>
      <c r="B721" s="42"/>
      <c r="C721" s="916"/>
    </row>
    <row r="722">
      <c r="A722" s="9"/>
      <c r="B722" s="42"/>
      <c r="C722" s="916"/>
    </row>
    <row r="723">
      <c r="A723" s="9"/>
      <c r="B723" s="42"/>
      <c r="C723" s="916"/>
    </row>
    <row r="724">
      <c r="A724" s="9"/>
      <c r="B724" s="42"/>
      <c r="C724" s="916"/>
    </row>
    <row r="725">
      <c r="A725" s="9"/>
      <c r="B725" s="42"/>
      <c r="C725" s="916"/>
    </row>
    <row r="726">
      <c r="A726" s="9"/>
      <c r="B726" s="42"/>
      <c r="C726" s="916"/>
    </row>
    <row r="727">
      <c r="A727" s="9"/>
      <c r="B727" s="42"/>
      <c r="C727" s="916"/>
    </row>
    <row r="728">
      <c r="A728" s="9"/>
      <c r="B728" s="42"/>
      <c r="C728" s="916"/>
    </row>
    <row r="729">
      <c r="A729" s="9"/>
      <c r="B729" s="42"/>
      <c r="C729" s="916"/>
    </row>
    <row r="730">
      <c r="A730" s="9"/>
      <c r="B730" s="42"/>
      <c r="C730" s="916"/>
    </row>
    <row r="731">
      <c r="A731" s="9"/>
      <c r="B731" s="42"/>
      <c r="C731" s="916"/>
    </row>
    <row r="732">
      <c r="A732" s="9"/>
      <c r="B732" s="42"/>
      <c r="C732" s="916"/>
    </row>
    <row r="733">
      <c r="A733" s="9"/>
      <c r="B733" s="42"/>
      <c r="C733" s="916"/>
    </row>
    <row r="734">
      <c r="A734" s="9"/>
      <c r="B734" s="42"/>
      <c r="C734" s="916"/>
    </row>
    <row r="735">
      <c r="A735" s="9"/>
      <c r="B735" s="42"/>
      <c r="C735" s="916"/>
    </row>
    <row r="736">
      <c r="A736" s="9"/>
      <c r="B736" s="42"/>
      <c r="C736" s="916"/>
    </row>
    <row r="737">
      <c r="A737" s="9"/>
      <c r="B737" s="42"/>
      <c r="C737" s="916"/>
    </row>
    <row r="738">
      <c r="A738" s="9"/>
      <c r="B738" s="42"/>
      <c r="C738" s="916"/>
    </row>
    <row r="739">
      <c r="A739" s="9"/>
      <c r="B739" s="42"/>
      <c r="C739" s="916"/>
    </row>
    <row r="740">
      <c r="A740" s="9"/>
      <c r="B740" s="42"/>
      <c r="C740" s="916"/>
    </row>
    <row r="741">
      <c r="A741" s="9"/>
      <c r="B741" s="42"/>
      <c r="C741" s="916"/>
    </row>
    <row r="742">
      <c r="A742" s="9"/>
      <c r="B742" s="42"/>
      <c r="C742" s="916"/>
    </row>
    <row r="743">
      <c r="A743" s="9"/>
      <c r="B743" s="42"/>
      <c r="C743" s="916"/>
    </row>
    <row r="744">
      <c r="A744" s="9"/>
      <c r="B744" s="42"/>
      <c r="C744" s="916"/>
    </row>
    <row r="745">
      <c r="A745" s="9"/>
      <c r="B745" s="42"/>
      <c r="C745" s="916"/>
    </row>
    <row r="746">
      <c r="A746" s="9"/>
      <c r="B746" s="42"/>
      <c r="C746" s="916"/>
    </row>
    <row r="747">
      <c r="A747" s="9"/>
      <c r="B747" s="42"/>
      <c r="C747" s="916"/>
    </row>
    <row r="748">
      <c r="A748" s="9"/>
      <c r="B748" s="42"/>
      <c r="C748" s="916"/>
    </row>
    <row r="749">
      <c r="A749" s="9"/>
      <c r="B749" s="42"/>
      <c r="C749" s="916"/>
    </row>
    <row r="750">
      <c r="A750" s="9"/>
      <c r="B750" s="42"/>
      <c r="C750" s="916"/>
    </row>
    <row r="751">
      <c r="A751" s="9"/>
      <c r="B751" s="42"/>
      <c r="C751" s="916"/>
    </row>
    <row r="752">
      <c r="A752" s="9"/>
      <c r="B752" s="42"/>
      <c r="C752" s="916"/>
    </row>
    <row r="753">
      <c r="A753" s="9"/>
      <c r="B753" s="42"/>
      <c r="C753" s="916"/>
    </row>
    <row r="754">
      <c r="A754" s="9"/>
      <c r="B754" s="42"/>
      <c r="C754" s="916"/>
    </row>
    <row r="755">
      <c r="A755" s="9"/>
      <c r="B755" s="42"/>
      <c r="C755" s="916"/>
    </row>
    <row r="756">
      <c r="A756" s="9"/>
      <c r="B756" s="42"/>
      <c r="C756" s="916"/>
    </row>
    <row r="757">
      <c r="A757" s="9"/>
      <c r="B757" s="42"/>
      <c r="C757" s="916"/>
    </row>
    <row r="758">
      <c r="A758" s="9"/>
      <c r="B758" s="42"/>
      <c r="C758" s="916"/>
    </row>
    <row r="759">
      <c r="A759" s="9"/>
      <c r="B759" s="42"/>
      <c r="C759" s="916"/>
    </row>
    <row r="760">
      <c r="A760" s="9"/>
      <c r="B760" s="42"/>
      <c r="C760" s="916"/>
    </row>
    <row r="761">
      <c r="A761" s="9"/>
      <c r="B761" s="42"/>
      <c r="C761" s="916"/>
    </row>
    <row r="762">
      <c r="A762" s="9"/>
      <c r="B762" s="42"/>
      <c r="C762" s="916"/>
    </row>
    <row r="763">
      <c r="A763" s="9"/>
      <c r="B763" s="42"/>
      <c r="C763" s="916"/>
    </row>
    <row r="764">
      <c r="A764" s="9"/>
      <c r="B764" s="42"/>
      <c r="C764" s="916"/>
    </row>
    <row r="765">
      <c r="A765" s="9"/>
      <c r="B765" s="42"/>
      <c r="C765" s="916"/>
    </row>
    <row r="766">
      <c r="A766" s="9"/>
      <c r="B766" s="42"/>
      <c r="C766" s="916"/>
    </row>
    <row r="767">
      <c r="A767" s="9"/>
      <c r="B767" s="42"/>
      <c r="C767" s="916"/>
    </row>
    <row r="768">
      <c r="A768" s="9"/>
      <c r="B768" s="42"/>
      <c r="C768" s="916"/>
    </row>
    <row r="769">
      <c r="A769" s="9"/>
      <c r="B769" s="42"/>
      <c r="C769" s="916"/>
    </row>
    <row r="770">
      <c r="A770" s="9"/>
      <c r="B770" s="42"/>
      <c r="C770" s="916"/>
    </row>
    <row r="771">
      <c r="A771" s="9"/>
      <c r="B771" s="42"/>
      <c r="C771" s="916"/>
    </row>
    <row r="772">
      <c r="A772" s="9"/>
      <c r="B772" s="42"/>
      <c r="C772" s="916"/>
    </row>
    <row r="773">
      <c r="A773" s="9"/>
      <c r="B773" s="42"/>
      <c r="C773" s="916"/>
    </row>
    <row r="774">
      <c r="A774" s="9"/>
      <c r="B774" s="42"/>
      <c r="C774" s="916"/>
    </row>
    <row r="775">
      <c r="A775" s="9"/>
      <c r="B775" s="42"/>
      <c r="C775" s="916"/>
    </row>
    <row r="776">
      <c r="A776" s="9"/>
      <c r="B776" s="42"/>
      <c r="C776" s="916"/>
    </row>
    <row r="777">
      <c r="A777" s="9"/>
      <c r="B777" s="42"/>
      <c r="C777" s="916"/>
    </row>
    <row r="778">
      <c r="A778" s="9"/>
      <c r="B778" s="42"/>
      <c r="C778" s="916"/>
    </row>
    <row r="779">
      <c r="A779" s="9"/>
      <c r="B779" s="42"/>
      <c r="C779" s="916"/>
    </row>
    <row r="780">
      <c r="A780" s="9"/>
      <c r="B780" s="42"/>
      <c r="C780" s="916"/>
    </row>
    <row r="781">
      <c r="A781" s="9"/>
      <c r="B781" s="42"/>
      <c r="C781" s="916"/>
    </row>
    <row r="782">
      <c r="A782" s="9"/>
      <c r="B782" s="42"/>
      <c r="C782" s="916"/>
    </row>
    <row r="783">
      <c r="A783" s="9"/>
      <c r="B783" s="42"/>
      <c r="C783" s="916"/>
    </row>
    <row r="784">
      <c r="A784" s="9"/>
      <c r="B784" s="42"/>
      <c r="C784" s="916"/>
    </row>
    <row r="785">
      <c r="A785" s="9"/>
      <c r="B785" s="42"/>
      <c r="C785" s="916"/>
    </row>
    <row r="786">
      <c r="A786" s="9"/>
      <c r="B786" s="42"/>
      <c r="C786" s="916"/>
    </row>
    <row r="787">
      <c r="A787" s="9"/>
      <c r="B787" s="42"/>
      <c r="C787" s="916"/>
    </row>
    <row r="788">
      <c r="A788" s="9"/>
      <c r="B788" s="42"/>
      <c r="C788" s="916"/>
    </row>
    <row r="789">
      <c r="A789" s="9"/>
      <c r="B789" s="42"/>
      <c r="C789" s="916"/>
    </row>
    <row r="790">
      <c r="A790" s="9"/>
      <c r="B790" s="42"/>
      <c r="C790" s="916"/>
    </row>
    <row r="791">
      <c r="A791" s="9"/>
      <c r="B791" s="42"/>
      <c r="C791" s="916"/>
    </row>
    <row r="792">
      <c r="A792" s="9"/>
      <c r="B792" s="42"/>
      <c r="C792" s="916"/>
    </row>
    <row r="793">
      <c r="A793" s="9"/>
      <c r="B793" s="42"/>
      <c r="C793" s="916"/>
    </row>
    <row r="794">
      <c r="A794" s="9"/>
      <c r="B794" s="42"/>
      <c r="C794" s="916"/>
    </row>
    <row r="795">
      <c r="A795" s="9"/>
      <c r="B795" s="42"/>
      <c r="C795" s="916"/>
    </row>
    <row r="796">
      <c r="A796" s="9"/>
      <c r="B796" s="42"/>
      <c r="C796" s="916"/>
    </row>
    <row r="797">
      <c r="A797" s="9"/>
      <c r="B797" s="42"/>
      <c r="C797" s="916"/>
    </row>
    <row r="798">
      <c r="A798" s="9"/>
      <c r="B798" s="42"/>
      <c r="C798" s="916"/>
    </row>
    <row r="799">
      <c r="A799" s="9"/>
      <c r="B799" s="42"/>
      <c r="C799" s="916"/>
    </row>
    <row r="800">
      <c r="A800" s="9"/>
      <c r="B800" s="42"/>
      <c r="C800" s="916"/>
    </row>
    <row r="801">
      <c r="A801" s="9"/>
      <c r="B801" s="42"/>
      <c r="C801" s="916"/>
    </row>
    <row r="802">
      <c r="A802" s="9"/>
      <c r="B802" s="42"/>
      <c r="C802" s="916"/>
    </row>
    <row r="803">
      <c r="A803" s="9"/>
      <c r="B803" s="42"/>
      <c r="C803" s="916"/>
    </row>
    <row r="804">
      <c r="A804" s="9"/>
      <c r="B804" s="42"/>
      <c r="C804" s="916"/>
    </row>
    <row r="805">
      <c r="A805" s="9"/>
      <c r="B805" s="42"/>
      <c r="C805" s="916"/>
    </row>
    <row r="806">
      <c r="A806" s="9"/>
      <c r="B806" s="42"/>
      <c r="C806" s="916"/>
    </row>
    <row r="807">
      <c r="A807" s="9"/>
      <c r="B807" s="42"/>
      <c r="C807" s="916"/>
    </row>
    <row r="808">
      <c r="A808" s="9"/>
      <c r="B808" s="42"/>
      <c r="C808" s="916"/>
    </row>
    <row r="809">
      <c r="A809" s="9"/>
      <c r="B809" s="42"/>
      <c r="C809" s="916"/>
    </row>
    <row r="810">
      <c r="A810" s="9"/>
      <c r="B810" s="42"/>
      <c r="C810" s="916"/>
    </row>
    <row r="811">
      <c r="A811" s="9"/>
      <c r="B811" s="42"/>
      <c r="C811" s="916"/>
    </row>
    <row r="812">
      <c r="A812" s="9"/>
      <c r="B812" s="42"/>
      <c r="C812" s="916"/>
    </row>
    <row r="813">
      <c r="A813" s="9"/>
      <c r="B813" s="42"/>
      <c r="C813" s="916"/>
    </row>
    <row r="814">
      <c r="A814" s="9"/>
      <c r="B814" s="42"/>
      <c r="C814" s="916"/>
    </row>
    <row r="815">
      <c r="A815" s="9"/>
      <c r="B815" s="42"/>
      <c r="C815" s="916"/>
    </row>
    <row r="816">
      <c r="A816" s="9"/>
      <c r="B816" s="42"/>
      <c r="C816" s="916"/>
    </row>
    <row r="817">
      <c r="A817" s="9"/>
      <c r="B817" s="42"/>
      <c r="C817" s="916"/>
    </row>
    <row r="818">
      <c r="A818" s="9"/>
      <c r="B818" s="42"/>
      <c r="C818" s="916"/>
    </row>
    <row r="819">
      <c r="A819" s="9"/>
      <c r="B819" s="42"/>
      <c r="C819" s="916"/>
    </row>
    <row r="820">
      <c r="A820" s="9"/>
      <c r="B820" s="42"/>
      <c r="C820" s="916"/>
    </row>
    <row r="821">
      <c r="A821" s="9"/>
      <c r="B821" s="42"/>
      <c r="C821" s="916"/>
    </row>
    <row r="822">
      <c r="A822" s="9"/>
      <c r="B822" s="42"/>
      <c r="C822" s="916"/>
    </row>
    <row r="823">
      <c r="A823" s="9"/>
      <c r="B823" s="42"/>
      <c r="C823" s="916"/>
    </row>
    <row r="824">
      <c r="A824" s="9"/>
      <c r="B824" s="42"/>
      <c r="C824" s="916"/>
    </row>
    <row r="825">
      <c r="A825" s="9"/>
      <c r="B825" s="42"/>
      <c r="C825" s="916"/>
    </row>
    <row r="826">
      <c r="A826" s="9"/>
      <c r="B826" s="42"/>
      <c r="C826" s="916"/>
    </row>
    <row r="827">
      <c r="A827" s="9"/>
      <c r="B827" s="42"/>
      <c r="C827" s="916"/>
    </row>
    <row r="828">
      <c r="A828" s="9"/>
      <c r="B828" s="42"/>
      <c r="C828" s="916"/>
    </row>
    <row r="829">
      <c r="A829" s="9"/>
      <c r="B829" s="42"/>
      <c r="C829" s="916"/>
    </row>
    <row r="830">
      <c r="A830" s="9"/>
      <c r="B830" s="42"/>
      <c r="C830" s="916"/>
    </row>
    <row r="831">
      <c r="A831" s="9"/>
      <c r="B831" s="42"/>
      <c r="C831" s="916"/>
    </row>
    <row r="832">
      <c r="A832" s="9"/>
      <c r="B832" s="42"/>
      <c r="C832" s="916"/>
    </row>
    <row r="833">
      <c r="A833" s="9"/>
      <c r="B833" s="42"/>
      <c r="C833" s="916"/>
    </row>
    <row r="834">
      <c r="A834" s="9"/>
      <c r="B834" s="42"/>
      <c r="C834" s="916"/>
    </row>
    <row r="835">
      <c r="A835" s="9"/>
      <c r="B835" s="42"/>
      <c r="C835" s="916"/>
    </row>
    <row r="836">
      <c r="A836" s="9"/>
      <c r="B836" s="42"/>
      <c r="C836" s="916"/>
    </row>
    <row r="837">
      <c r="A837" s="9"/>
      <c r="B837" s="42"/>
      <c r="C837" s="916"/>
    </row>
    <row r="838">
      <c r="A838" s="9"/>
      <c r="B838" s="42"/>
      <c r="C838" s="916"/>
    </row>
    <row r="839">
      <c r="A839" s="9"/>
      <c r="B839" s="42"/>
      <c r="C839" s="916"/>
    </row>
    <row r="840">
      <c r="A840" s="9"/>
      <c r="B840" s="42"/>
      <c r="C840" s="916"/>
    </row>
    <row r="841">
      <c r="A841" s="9"/>
      <c r="B841" s="42"/>
      <c r="C841" s="916"/>
    </row>
    <row r="842">
      <c r="A842" s="9"/>
      <c r="B842" s="42"/>
      <c r="C842" s="916"/>
    </row>
    <row r="843">
      <c r="A843" s="9"/>
      <c r="B843" s="42"/>
      <c r="C843" s="916"/>
    </row>
    <row r="844">
      <c r="A844" s="9"/>
      <c r="B844" s="42"/>
      <c r="C844" s="916"/>
    </row>
    <row r="845">
      <c r="A845" s="9"/>
      <c r="B845" s="42"/>
      <c r="C845" s="916"/>
    </row>
    <row r="846">
      <c r="A846" s="9"/>
      <c r="B846" s="42"/>
      <c r="C846" s="916"/>
    </row>
    <row r="847">
      <c r="A847" s="9"/>
      <c r="B847" s="42"/>
      <c r="C847" s="916"/>
    </row>
    <row r="848">
      <c r="A848" s="9"/>
      <c r="B848" s="42"/>
      <c r="C848" s="916"/>
    </row>
    <row r="849">
      <c r="A849" s="9"/>
      <c r="B849" s="42"/>
      <c r="C849" s="916"/>
    </row>
    <row r="850">
      <c r="A850" s="9"/>
      <c r="B850" s="42"/>
      <c r="C850" s="916"/>
    </row>
    <row r="851">
      <c r="A851" s="9"/>
      <c r="B851" s="42"/>
      <c r="C851" s="916"/>
    </row>
    <row r="852">
      <c r="A852" s="9"/>
      <c r="B852" s="42"/>
      <c r="C852" s="916"/>
    </row>
    <row r="853">
      <c r="A853" s="9"/>
      <c r="B853" s="42"/>
      <c r="C853" s="916"/>
    </row>
    <row r="854">
      <c r="A854" s="9"/>
      <c r="B854" s="42"/>
      <c r="C854" s="916"/>
    </row>
    <row r="855">
      <c r="A855" s="9"/>
      <c r="B855" s="42"/>
      <c r="C855" s="916"/>
    </row>
    <row r="856">
      <c r="A856" s="9"/>
      <c r="B856" s="42"/>
      <c r="C856" s="916"/>
    </row>
    <row r="857">
      <c r="A857" s="9"/>
      <c r="B857" s="42"/>
      <c r="C857" s="916"/>
    </row>
    <row r="858">
      <c r="A858" s="9"/>
      <c r="B858" s="42"/>
      <c r="C858" s="916"/>
    </row>
    <row r="859">
      <c r="A859" s="9"/>
      <c r="B859" s="42"/>
      <c r="C859" s="916"/>
    </row>
    <row r="860">
      <c r="A860" s="9"/>
      <c r="B860" s="42"/>
      <c r="C860" s="916"/>
    </row>
    <row r="861">
      <c r="A861" s="9"/>
      <c r="B861" s="42"/>
      <c r="C861" s="916"/>
    </row>
    <row r="862">
      <c r="A862" s="9"/>
      <c r="B862" s="42"/>
      <c r="C862" s="916"/>
    </row>
    <row r="863">
      <c r="A863" s="9"/>
      <c r="B863" s="42"/>
      <c r="C863" s="916"/>
    </row>
    <row r="864">
      <c r="A864" s="9"/>
      <c r="B864" s="42"/>
      <c r="C864" s="916"/>
    </row>
    <row r="865">
      <c r="A865" s="9"/>
      <c r="B865" s="42"/>
      <c r="C865" s="916"/>
    </row>
    <row r="866">
      <c r="A866" s="9"/>
      <c r="B866" s="42"/>
      <c r="C866" s="916"/>
    </row>
    <row r="867">
      <c r="A867" s="9"/>
      <c r="B867" s="42"/>
      <c r="C867" s="916"/>
    </row>
    <row r="868">
      <c r="A868" s="9"/>
      <c r="B868" s="42"/>
      <c r="C868" s="916"/>
    </row>
    <row r="869">
      <c r="A869" s="9"/>
      <c r="B869" s="42"/>
      <c r="C869" s="916"/>
    </row>
    <row r="870">
      <c r="A870" s="9"/>
      <c r="B870" s="42"/>
      <c r="C870" s="916"/>
    </row>
    <row r="871">
      <c r="A871" s="9"/>
      <c r="B871" s="42"/>
      <c r="C871" s="916"/>
    </row>
    <row r="872">
      <c r="A872" s="9"/>
      <c r="B872" s="42"/>
      <c r="C872" s="916"/>
    </row>
    <row r="873">
      <c r="A873" s="9"/>
      <c r="B873" s="42"/>
      <c r="C873" s="916"/>
    </row>
    <row r="874">
      <c r="A874" s="9"/>
      <c r="B874" s="42"/>
      <c r="C874" s="916"/>
    </row>
    <row r="875">
      <c r="A875" s="9"/>
      <c r="B875" s="42"/>
      <c r="C875" s="916"/>
    </row>
    <row r="876">
      <c r="A876" s="9"/>
      <c r="B876" s="42"/>
      <c r="C876" s="916"/>
    </row>
    <row r="877">
      <c r="A877" s="9"/>
      <c r="B877" s="42"/>
      <c r="C877" s="916"/>
    </row>
    <row r="878">
      <c r="A878" s="9"/>
      <c r="B878" s="42"/>
      <c r="C878" s="916"/>
    </row>
    <row r="879">
      <c r="A879" s="9"/>
      <c r="B879" s="42"/>
      <c r="C879" s="916"/>
    </row>
    <row r="880">
      <c r="A880" s="9"/>
      <c r="B880" s="42"/>
      <c r="C880" s="916"/>
    </row>
    <row r="881">
      <c r="A881" s="9"/>
      <c r="B881" s="42"/>
      <c r="C881" s="916"/>
    </row>
    <row r="882">
      <c r="A882" s="9"/>
      <c r="B882" s="42"/>
      <c r="C882" s="916"/>
    </row>
    <row r="883">
      <c r="A883" s="9"/>
      <c r="B883" s="42"/>
      <c r="C883" s="916"/>
    </row>
    <row r="884">
      <c r="A884" s="9"/>
      <c r="B884" s="42"/>
      <c r="C884" s="916"/>
    </row>
    <row r="885">
      <c r="A885" s="9"/>
      <c r="B885" s="42"/>
      <c r="C885" s="916"/>
    </row>
    <row r="886">
      <c r="A886" s="9"/>
      <c r="B886" s="42"/>
      <c r="C886" s="916"/>
    </row>
    <row r="887">
      <c r="A887" s="9"/>
      <c r="B887" s="42"/>
      <c r="C887" s="916"/>
    </row>
    <row r="888">
      <c r="A888" s="9"/>
      <c r="B888" s="42"/>
      <c r="C888" s="916"/>
    </row>
    <row r="889">
      <c r="A889" s="9"/>
      <c r="B889" s="42"/>
      <c r="C889" s="916"/>
    </row>
    <row r="890">
      <c r="A890" s="9"/>
      <c r="B890" s="42"/>
      <c r="C890" s="916"/>
    </row>
    <row r="891">
      <c r="A891" s="9"/>
      <c r="B891" s="42"/>
      <c r="C891" s="916"/>
    </row>
    <row r="892">
      <c r="A892" s="9"/>
      <c r="B892" s="42"/>
      <c r="C892" s="916"/>
    </row>
    <row r="893">
      <c r="A893" s="9"/>
      <c r="B893" s="42"/>
      <c r="C893" s="916"/>
    </row>
    <row r="894">
      <c r="A894" s="9"/>
      <c r="B894" s="42"/>
      <c r="C894" s="916"/>
    </row>
    <row r="895">
      <c r="A895" s="9"/>
      <c r="B895" s="42"/>
      <c r="C895" s="916"/>
    </row>
    <row r="896">
      <c r="A896" s="9"/>
      <c r="B896" s="42"/>
      <c r="C896" s="916"/>
    </row>
    <row r="897">
      <c r="A897" s="9"/>
      <c r="B897" s="42"/>
      <c r="C897" s="916"/>
    </row>
    <row r="898">
      <c r="A898" s="9"/>
      <c r="B898" s="42"/>
      <c r="C898" s="916"/>
    </row>
    <row r="899">
      <c r="A899" s="9"/>
      <c r="B899" s="42"/>
      <c r="C899" s="916"/>
    </row>
    <row r="900">
      <c r="A900" s="9"/>
      <c r="B900" s="42"/>
      <c r="C900" s="916"/>
    </row>
    <row r="901">
      <c r="A901" s="9"/>
      <c r="B901" s="42"/>
      <c r="C901" s="916"/>
    </row>
    <row r="902">
      <c r="A902" s="9"/>
      <c r="B902" s="42"/>
      <c r="C902" s="916"/>
    </row>
    <row r="903">
      <c r="A903" s="9"/>
      <c r="B903" s="42"/>
      <c r="C903" s="916"/>
    </row>
    <row r="904">
      <c r="A904" s="9"/>
      <c r="B904" s="42"/>
      <c r="C904" s="916"/>
    </row>
    <row r="905">
      <c r="A905" s="9"/>
      <c r="B905" s="42"/>
      <c r="C905" s="916"/>
    </row>
    <row r="906">
      <c r="A906" s="9"/>
      <c r="B906" s="42"/>
      <c r="C906" s="916"/>
    </row>
    <row r="907">
      <c r="A907" s="9"/>
      <c r="B907" s="42"/>
      <c r="C907" s="916"/>
    </row>
    <row r="908">
      <c r="A908" s="9"/>
      <c r="B908" s="42"/>
      <c r="C908" s="916"/>
    </row>
    <row r="909">
      <c r="A909" s="9"/>
      <c r="B909" s="42"/>
      <c r="C909" s="916"/>
    </row>
    <row r="910">
      <c r="A910" s="9"/>
      <c r="B910" s="42"/>
      <c r="C910" s="916"/>
    </row>
    <row r="911">
      <c r="A911" s="9"/>
      <c r="B911" s="42"/>
      <c r="C911" s="916"/>
    </row>
    <row r="912">
      <c r="A912" s="9"/>
      <c r="B912" s="42"/>
      <c r="C912" s="916"/>
    </row>
    <row r="913">
      <c r="A913" s="9"/>
      <c r="B913" s="42"/>
      <c r="C913" s="916"/>
    </row>
    <row r="914">
      <c r="A914" s="9"/>
      <c r="B914" s="42"/>
      <c r="C914" s="916"/>
    </row>
    <row r="915">
      <c r="A915" s="9"/>
      <c r="B915" s="42"/>
      <c r="C915" s="916"/>
    </row>
    <row r="916">
      <c r="A916" s="9"/>
      <c r="B916" s="42"/>
      <c r="C916" s="916"/>
    </row>
    <row r="917">
      <c r="A917" s="9"/>
      <c r="B917" s="42"/>
      <c r="C917" s="916"/>
    </row>
    <row r="918">
      <c r="A918" s="9"/>
      <c r="B918" s="42"/>
      <c r="C918" s="916"/>
    </row>
    <row r="919">
      <c r="A919" s="9"/>
      <c r="B919" s="42"/>
      <c r="C919" s="916"/>
    </row>
    <row r="920">
      <c r="A920" s="9"/>
      <c r="B920" s="42"/>
      <c r="C920" s="916"/>
    </row>
    <row r="921">
      <c r="A921" s="9"/>
      <c r="B921" s="42"/>
      <c r="C921" s="916"/>
    </row>
    <row r="922">
      <c r="A922" s="9"/>
      <c r="B922" s="42"/>
      <c r="C922" s="916"/>
    </row>
    <row r="923">
      <c r="A923" s="9"/>
      <c r="B923" s="42"/>
      <c r="C923" s="916"/>
    </row>
    <row r="924">
      <c r="A924" s="9"/>
      <c r="B924" s="42"/>
      <c r="C924" s="916"/>
    </row>
    <row r="925">
      <c r="A925" s="9"/>
      <c r="B925" s="42"/>
      <c r="C925" s="916"/>
    </row>
    <row r="926">
      <c r="A926" s="9"/>
      <c r="B926" s="42"/>
      <c r="C926" s="916"/>
    </row>
    <row r="927">
      <c r="A927" s="9"/>
      <c r="B927" s="42"/>
      <c r="C927" s="916"/>
    </row>
    <row r="928">
      <c r="A928" s="9"/>
      <c r="B928" s="42"/>
      <c r="C928" s="916"/>
    </row>
    <row r="929">
      <c r="A929" s="9"/>
      <c r="B929" s="42"/>
      <c r="C929" s="916"/>
    </row>
    <row r="930">
      <c r="A930" s="9"/>
      <c r="B930" s="42"/>
      <c r="C930" s="916"/>
    </row>
    <row r="931">
      <c r="A931" s="9"/>
      <c r="B931" s="42"/>
      <c r="C931" s="916"/>
    </row>
    <row r="932">
      <c r="A932" s="9"/>
      <c r="B932" s="42"/>
      <c r="C932" s="916"/>
    </row>
    <row r="933">
      <c r="A933" s="9"/>
      <c r="B933" s="42"/>
      <c r="C933" s="916"/>
    </row>
    <row r="934">
      <c r="A934" s="9"/>
      <c r="B934" s="42"/>
      <c r="C934" s="916"/>
    </row>
    <row r="935">
      <c r="A935" s="9"/>
      <c r="B935" s="42"/>
      <c r="C935" s="916"/>
    </row>
    <row r="936">
      <c r="A936" s="9"/>
      <c r="B936" s="42"/>
      <c r="C936" s="916"/>
    </row>
    <row r="937">
      <c r="A937" s="9"/>
      <c r="B937" s="42"/>
      <c r="C937" s="916"/>
    </row>
    <row r="938">
      <c r="A938" s="9"/>
      <c r="B938" s="42"/>
      <c r="C938" s="916"/>
    </row>
    <row r="939">
      <c r="A939" s="9"/>
      <c r="B939" s="42"/>
      <c r="C939" s="916"/>
    </row>
    <row r="940">
      <c r="A940" s="9"/>
      <c r="B940" s="42"/>
      <c r="C940" s="916"/>
    </row>
    <row r="941">
      <c r="A941" s="9"/>
      <c r="B941" s="42"/>
      <c r="C941" s="916"/>
    </row>
    <row r="942">
      <c r="A942" s="9"/>
      <c r="B942" s="42"/>
      <c r="C942" s="916"/>
    </row>
    <row r="943">
      <c r="A943" s="9"/>
      <c r="B943" s="42"/>
      <c r="C943" s="916"/>
    </row>
    <row r="944">
      <c r="A944" s="9"/>
      <c r="B944" s="42"/>
      <c r="C944" s="916"/>
    </row>
    <row r="945">
      <c r="A945" s="9"/>
      <c r="B945" s="42"/>
      <c r="C945" s="916"/>
    </row>
    <row r="946">
      <c r="A946" s="9"/>
      <c r="B946" s="42"/>
      <c r="C946" s="916"/>
    </row>
    <row r="947">
      <c r="A947" s="9"/>
      <c r="B947" s="42"/>
      <c r="C947" s="916"/>
    </row>
    <row r="948">
      <c r="A948" s="9"/>
      <c r="B948" s="42"/>
      <c r="C948" s="916"/>
    </row>
    <row r="949">
      <c r="A949" s="9"/>
      <c r="B949" s="42"/>
      <c r="C949" s="916"/>
    </row>
    <row r="950">
      <c r="A950" s="9"/>
      <c r="B950" s="42"/>
      <c r="C950" s="916"/>
    </row>
    <row r="951">
      <c r="A951" s="9"/>
      <c r="B951" s="42"/>
      <c r="C951" s="916"/>
    </row>
    <row r="952">
      <c r="A952" s="9"/>
      <c r="B952" s="42"/>
      <c r="C952" s="916"/>
    </row>
    <row r="953">
      <c r="A953" s="9"/>
      <c r="B953" s="42"/>
      <c r="C953" s="916"/>
    </row>
    <row r="954">
      <c r="A954" s="9"/>
      <c r="B954" s="42"/>
      <c r="C954" s="916"/>
    </row>
    <row r="955">
      <c r="A955" s="9"/>
      <c r="B955" s="42"/>
      <c r="C955" s="916"/>
    </row>
    <row r="956">
      <c r="A956" s="9"/>
      <c r="B956" s="42"/>
      <c r="C956" s="916"/>
    </row>
    <row r="957">
      <c r="A957" s="9"/>
      <c r="B957" s="42"/>
      <c r="C957" s="916"/>
    </row>
    <row r="958">
      <c r="A958" s="9"/>
      <c r="B958" s="42"/>
      <c r="C958" s="916"/>
    </row>
    <row r="959">
      <c r="A959" s="9"/>
      <c r="B959" s="42"/>
      <c r="C959" s="916"/>
    </row>
    <row r="960">
      <c r="A960" s="9"/>
      <c r="B960" s="42"/>
      <c r="C960" s="916"/>
    </row>
    <row r="961">
      <c r="A961" s="9"/>
      <c r="B961" s="42"/>
      <c r="C961" s="916"/>
    </row>
    <row r="962">
      <c r="A962" s="9"/>
      <c r="B962" s="42"/>
      <c r="C962" s="916"/>
    </row>
    <row r="963">
      <c r="A963" s="9"/>
      <c r="B963" s="42"/>
      <c r="C963" s="916"/>
    </row>
    <row r="964">
      <c r="A964" s="9"/>
      <c r="B964" s="42"/>
      <c r="C964" s="916"/>
    </row>
    <row r="965">
      <c r="A965" s="9"/>
      <c r="B965" s="42"/>
      <c r="C965" s="916"/>
    </row>
    <row r="966">
      <c r="A966" s="9"/>
      <c r="B966" s="42"/>
      <c r="C966" s="916"/>
    </row>
    <row r="967">
      <c r="A967" s="9"/>
      <c r="B967" s="42"/>
      <c r="C967" s="916"/>
    </row>
    <row r="968">
      <c r="A968" s="9"/>
      <c r="B968" s="42"/>
      <c r="C968" s="916"/>
    </row>
    <row r="969">
      <c r="A969" s="9"/>
      <c r="B969" s="42"/>
      <c r="C969" s="916"/>
    </row>
    <row r="970">
      <c r="A970" s="9"/>
      <c r="B970" s="42"/>
      <c r="C970" s="916"/>
    </row>
    <row r="971">
      <c r="A971" s="9"/>
      <c r="B971" s="42"/>
      <c r="C971" s="916"/>
    </row>
    <row r="972">
      <c r="A972" s="9"/>
      <c r="B972" s="42"/>
      <c r="C972" s="916"/>
    </row>
    <row r="973">
      <c r="A973" s="9"/>
      <c r="B973" s="42"/>
      <c r="C973" s="916"/>
    </row>
    <row r="974">
      <c r="A974" s="9"/>
      <c r="B974" s="42"/>
      <c r="C974" s="916"/>
    </row>
    <row r="975">
      <c r="A975" s="9"/>
      <c r="B975" s="42"/>
      <c r="C975" s="916"/>
    </row>
    <row r="976">
      <c r="A976" s="9"/>
      <c r="B976" s="42"/>
      <c r="C976" s="916"/>
    </row>
    <row r="977">
      <c r="A977" s="9"/>
      <c r="B977" s="42"/>
      <c r="C977" s="916"/>
    </row>
    <row r="978">
      <c r="A978" s="9"/>
      <c r="B978" s="42"/>
      <c r="C978" s="916"/>
    </row>
    <row r="979">
      <c r="A979" s="9"/>
      <c r="B979" s="42"/>
      <c r="C979" s="916"/>
    </row>
    <row r="980">
      <c r="A980" s="9"/>
      <c r="B980" s="42"/>
      <c r="C980" s="916"/>
    </row>
    <row r="981">
      <c r="A981" s="9"/>
      <c r="B981" s="42"/>
      <c r="C981" s="916"/>
    </row>
    <row r="982">
      <c r="A982" s="9"/>
      <c r="B982" s="42"/>
      <c r="C982" s="916"/>
    </row>
    <row r="983">
      <c r="A983" s="9"/>
      <c r="B983" s="42"/>
      <c r="C983" s="916"/>
    </row>
    <row r="984">
      <c r="A984" s="9"/>
      <c r="B984" s="42"/>
      <c r="C984" s="916"/>
    </row>
    <row r="985">
      <c r="A985" s="9"/>
      <c r="B985" s="42"/>
      <c r="C985" s="916"/>
    </row>
    <row r="986">
      <c r="A986" s="9"/>
      <c r="B986" s="42"/>
      <c r="C986" s="916"/>
    </row>
    <row r="987">
      <c r="A987" s="9"/>
      <c r="B987" s="42"/>
      <c r="C987" s="916"/>
    </row>
    <row r="988">
      <c r="A988" s="9"/>
      <c r="B988" s="42"/>
      <c r="C988" s="916"/>
    </row>
    <row r="989">
      <c r="A989" s="9"/>
      <c r="B989" s="42"/>
      <c r="C989" s="916"/>
    </row>
    <row r="990">
      <c r="A990" s="9"/>
      <c r="B990" s="42"/>
      <c r="C990" s="916"/>
    </row>
    <row r="991">
      <c r="A991" s="9"/>
      <c r="B991" s="42"/>
      <c r="C991" s="916"/>
    </row>
    <row r="992">
      <c r="A992" s="9"/>
      <c r="B992" s="42"/>
      <c r="C992" s="916"/>
    </row>
    <row r="993">
      <c r="A993" s="9"/>
      <c r="B993" s="42"/>
      <c r="C993" s="916"/>
    </row>
    <row r="994">
      <c r="A994" s="9"/>
      <c r="B994" s="42"/>
      <c r="C994" s="916"/>
    </row>
    <row r="995">
      <c r="A995" s="9"/>
      <c r="B995" s="42"/>
      <c r="C995" s="916"/>
    </row>
    <row r="996">
      <c r="A996" s="9"/>
      <c r="B996" s="42"/>
      <c r="C996" s="916"/>
    </row>
    <row r="997">
      <c r="A997" s="9"/>
      <c r="B997" s="42"/>
      <c r="C997" s="916"/>
    </row>
    <row r="998">
      <c r="A998" s="9"/>
      <c r="B998" s="42"/>
      <c r="C998" s="916"/>
    </row>
    <row r="999">
      <c r="A999" s="9"/>
      <c r="B999" s="42"/>
      <c r="C999" s="916"/>
    </row>
    <row r="1000">
      <c r="A1000" s="9"/>
      <c r="B1000" s="42"/>
      <c r="C1000" s="916"/>
    </row>
    <row r="1001">
      <c r="A1001" s="9"/>
      <c r="B1001" s="42"/>
      <c r="C1001" s="916"/>
    </row>
    <row r="1002">
      <c r="A1002" s="9"/>
      <c r="B1002" s="42"/>
      <c r="C1002" s="916"/>
    </row>
    <row r="1003">
      <c r="A1003" s="9"/>
      <c r="B1003" s="42"/>
      <c r="C1003" s="916"/>
    </row>
    <row r="1004">
      <c r="A1004" s="9"/>
      <c r="B1004" s="42"/>
      <c r="C1004" s="916"/>
    </row>
    <row r="1005">
      <c r="A1005" s="9"/>
      <c r="B1005" s="42"/>
      <c r="C1005" s="916"/>
    </row>
    <row r="1006">
      <c r="A1006" s="9"/>
      <c r="B1006" s="42"/>
      <c r="C1006" s="916"/>
    </row>
    <row r="1007">
      <c r="A1007" s="9"/>
      <c r="B1007" s="42"/>
      <c r="C1007" s="916"/>
    </row>
    <row r="1008">
      <c r="A1008" s="9"/>
      <c r="B1008" s="42"/>
      <c r="C1008" s="916"/>
    </row>
    <row r="1009">
      <c r="A1009" s="9"/>
      <c r="B1009" s="42"/>
      <c r="C1009" s="916"/>
    </row>
    <row r="1010">
      <c r="A1010" s="9"/>
      <c r="B1010" s="42"/>
      <c r="C1010" s="916"/>
    </row>
    <row r="1011">
      <c r="A1011" s="9"/>
      <c r="B1011" s="42"/>
      <c r="C1011" s="916"/>
    </row>
    <row r="1012">
      <c r="A1012" s="9"/>
      <c r="B1012" s="42"/>
      <c r="C1012" s="916"/>
    </row>
    <row r="1013">
      <c r="A1013" s="9"/>
      <c r="B1013" s="42"/>
      <c r="C1013" s="916"/>
    </row>
    <row r="1014">
      <c r="A1014" s="9"/>
      <c r="B1014" s="42"/>
      <c r="C1014" s="916"/>
    </row>
    <row r="1015">
      <c r="A1015" s="9"/>
      <c r="B1015" s="42"/>
      <c r="C1015" s="916"/>
    </row>
    <row r="1016">
      <c r="A1016" s="9"/>
      <c r="B1016" s="42"/>
      <c r="C1016" s="916"/>
    </row>
    <row r="1017">
      <c r="A1017" s="9"/>
      <c r="B1017" s="42"/>
      <c r="C1017" s="916"/>
    </row>
    <row r="1018">
      <c r="A1018" s="9"/>
      <c r="B1018" s="42"/>
      <c r="C1018" s="916"/>
    </row>
    <row r="1019">
      <c r="A1019" s="9"/>
      <c r="B1019" s="42"/>
      <c r="C1019" s="916"/>
    </row>
    <row r="1020">
      <c r="A1020" s="9"/>
      <c r="B1020" s="42"/>
      <c r="C1020" s="916"/>
    </row>
    <row r="1021">
      <c r="A1021" s="9"/>
      <c r="B1021" s="42"/>
      <c r="C1021" s="916"/>
    </row>
    <row r="1022">
      <c r="A1022" s="9"/>
      <c r="B1022" s="42"/>
      <c r="C1022" s="916"/>
    </row>
    <row r="1023">
      <c r="A1023" s="9"/>
      <c r="B1023" s="42"/>
      <c r="C1023" s="916"/>
    </row>
    <row r="1024">
      <c r="A1024" s="9"/>
      <c r="B1024" s="42"/>
      <c r="C1024" s="916"/>
    </row>
    <row r="1025">
      <c r="A1025" s="9"/>
      <c r="B1025" s="42"/>
      <c r="C1025" s="916"/>
    </row>
    <row r="1026">
      <c r="A1026" s="9"/>
      <c r="B1026" s="42"/>
      <c r="C1026" s="916"/>
    </row>
    <row r="1027">
      <c r="A1027" s="9"/>
      <c r="B1027" s="42"/>
      <c r="C1027" s="916"/>
    </row>
    <row r="1028">
      <c r="A1028" s="9"/>
      <c r="B1028" s="42"/>
      <c r="C1028" s="916"/>
    </row>
    <row r="1029">
      <c r="A1029" s="9"/>
      <c r="B1029" s="42"/>
      <c r="C1029" s="916"/>
    </row>
    <row r="1030">
      <c r="A1030" s="9"/>
      <c r="B1030" s="42"/>
      <c r="C1030" s="916"/>
    </row>
    <row r="1031">
      <c r="A1031" s="9"/>
      <c r="B1031" s="42"/>
      <c r="C1031" s="916"/>
    </row>
    <row r="1032">
      <c r="A1032" s="9"/>
      <c r="B1032" s="42"/>
      <c r="C1032" s="916"/>
    </row>
    <row r="1033">
      <c r="A1033" s="9"/>
      <c r="B1033" s="42"/>
      <c r="C1033" s="916"/>
    </row>
    <row r="1034">
      <c r="A1034" s="9"/>
      <c r="B1034" s="42"/>
      <c r="C1034" s="916"/>
    </row>
    <row r="1035">
      <c r="A1035" s="9"/>
      <c r="B1035" s="42"/>
      <c r="C1035" s="916"/>
    </row>
    <row r="1036">
      <c r="A1036" s="9"/>
      <c r="B1036" s="42"/>
      <c r="C1036" s="916"/>
    </row>
    <row r="1037">
      <c r="A1037" s="9"/>
      <c r="B1037" s="42"/>
      <c r="C1037" s="916"/>
    </row>
    <row r="1038">
      <c r="A1038" s="9"/>
      <c r="B1038" s="42"/>
      <c r="C1038" s="916"/>
    </row>
    <row r="1039">
      <c r="A1039" s="9"/>
      <c r="B1039" s="42"/>
      <c r="C1039" s="916"/>
    </row>
    <row r="1040">
      <c r="A1040" s="9"/>
      <c r="B1040" s="42"/>
      <c r="C1040" s="916"/>
    </row>
    <row r="1041">
      <c r="A1041" s="9"/>
      <c r="B1041" s="42"/>
      <c r="C1041" s="916"/>
    </row>
    <row r="1042">
      <c r="A1042" s="9"/>
      <c r="B1042" s="42"/>
      <c r="C1042" s="916"/>
    </row>
    <row r="1043">
      <c r="A1043" s="9"/>
      <c r="B1043" s="42"/>
      <c r="C1043" s="916"/>
    </row>
    <row r="1044">
      <c r="A1044" s="9"/>
      <c r="B1044" s="42"/>
      <c r="C1044" s="916"/>
    </row>
    <row r="1045">
      <c r="A1045" s="9"/>
      <c r="B1045" s="42"/>
      <c r="C1045" s="916"/>
    </row>
    <row r="1046">
      <c r="A1046" s="9"/>
      <c r="B1046" s="42"/>
      <c r="C1046" s="916"/>
    </row>
    <row r="1047">
      <c r="A1047" s="9"/>
      <c r="B1047" s="42"/>
      <c r="C1047" s="916"/>
    </row>
    <row r="1048">
      <c r="A1048" s="9"/>
      <c r="B1048" s="42"/>
      <c r="C1048" s="916"/>
    </row>
    <row r="1049">
      <c r="A1049" s="9"/>
      <c r="B1049" s="42"/>
      <c r="C1049" s="916"/>
    </row>
    <row r="1050">
      <c r="A1050" s="9"/>
      <c r="B1050" s="42"/>
      <c r="C1050" s="916"/>
    </row>
    <row r="1051">
      <c r="A1051" s="9"/>
      <c r="B1051" s="42"/>
      <c r="C1051" s="916"/>
    </row>
    <row r="1052">
      <c r="A1052" s="9"/>
      <c r="B1052" s="42"/>
      <c r="C1052" s="916"/>
    </row>
    <row r="1053">
      <c r="A1053" s="9"/>
      <c r="B1053" s="42"/>
      <c r="C1053" s="916"/>
    </row>
    <row r="1054">
      <c r="A1054" s="9"/>
      <c r="B1054" s="42"/>
      <c r="C1054" s="916"/>
    </row>
    <row r="1055">
      <c r="A1055" s="9"/>
      <c r="B1055" s="42"/>
      <c r="C1055" s="916"/>
    </row>
    <row r="1056">
      <c r="A1056" s="9"/>
      <c r="B1056" s="42"/>
      <c r="C1056" s="916"/>
    </row>
    <row r="1057">
      <c r="A1057" s="9"/>
      <c r="B1057" s="42"/>
      <c r="C1057" s="916"/>
    </row>
    <row r="1058">
      <c r="A1058" s="9"/>
      <c r="B1058" s="42"/>
      <c r="C1058" s="916"/>
    </row>
    <row r="1059">
      <c r="A1059" s="9"/>
      <c r="B1059" s="42"/>
      <c r="C1059" s="916"/>
    </row>
    <row r="1060">
      <c r="A1060" s="9"/>
      <c r="B1060" s="42"/>
      <c r="C1060" s="916"/>
    </row>
    <row r="1061">
      <c r="A1061" s="9"/>
      <c r="B1061" s="42"/>
      <c r="C1061" s="916"/>
    </row>
    <row r="1062">
      <c r="A1062" s="9"/>
      <c r="B1062" s="42"/>
      <c r="C1062" s="916"/>
    </row>
    <row r="1063">
      <c r="A1063" s="9"/>
      <c r="B1063" s="42"/>
      <c r="C1063" s="916"/>
    </row>
    <row r="1064">
      <c r="A1064" s="9"/>
      <c r="B1064" s="42"/>
      <c r="C1064" s="916"/>
    </row>
    <row r="1065">
      <c r="A1065" s="9"/>
      <c r="B1065" s="42"/>
      <c r="C1065" s="916"/>
    </row>
    <row r="1066">
      <c r="A1066" s="9"/>
      <c r="B1066" s="42"/>
      <c r="C1066" s="916"/>
    </row>
    <row r="1067">
      <c r="A1067" s="9"/>
      <c r="B1067" s="42"/>
      <c r="C1067" s="916"/>
    </row>
    <row r="1068">
      <c r="A1068" s="9"/>
      <c r="B1068" s="42"/>
      <c r="C1068" s="916"/>
    </row>
    <row r="1069">
      <c r="A1069" s="9"/>
      <c r="B1069" s="42"/>
      <c r="C1069" s="916"/>
    </row>
    <row r="1070">
      <c r="A1070" s="9"/>
      <c r="B1070" s="42"/>
      <c r="C1070" s="916"/>
    </row>
    <row r="1071">
      <c r="A1071" s="9"/>
      <c r="B1071" s="42"/>
      <c r="C1071" s="916"/>
    </row>
    <row r="1072">
      <c r="A1072" s="9"/>
      <c r="B1072" s="42"/>
      <c r="C1072" s="916"/>
    </row>
    <row r="1073">
      <c r="A1073" s="9"/>
      <c r="B1073" s="42"/>
      <c r="C1073" s="916"/>
    </row>
    <row r="1074">
      <c r="A1074" s="9"/>
      <c r="B1074" s="42"/>
      <c r="C1074" s="916"/>
    </row>
    <row r="1075">
      <c r="A1075" s="9"/>
      <c r="B1075" s="42"/>
      <c r="C1075" s="916"/>
    </row>
    <row r="1076">
      <c r="A1076" s="9"/>
      <c r="B1076" s="42"/>
      <c r="C1076" s="916"/>
    </row>
    <row r="1077">
      <c r="A1077" s="9"/>
      <c r="B1077" s="42"/>
      <c r="C1077" s="916"/>
    </row>
    <row r="1078">
      <c r="A1078" s="9"/>
      <c r="B1078" s="42"/>
      <c r="C1078" s="916"/>
    </row>
    <row r="1079">
      <c r="A1079" s="9"/>
      <c r="B1079" s="42"/>
      <c r="C1079" s="916"/>
    </row>
    <row r="1080">
      <c r="A1080" s="9"/>
      <c r="B1080" s="42"/>
      <c r="C1080" s="916"/>
    </row>
    <row r="1081">
      <c r="A1081" s="9"/>
      <c r="B1081" s="42"/>
      <c r="C1081" s="916"/>
    </row>
    <row r="1082">
      <c r="A1082" s="9"/>
      <c r="B1082" s="42"/>
      <c r="C1082" s="916"/>
    </row>
    <row r="1083">
      <c r="A1083" s="9"/>
      <c r="B1083" s="42"/>
      <c r="C1083" s="916"/>
    </row>
    <row r="1084">
      <c r="A1084" s="9"/>
      <c r="B1084" s="42"/>
      <c r="C1084" s="916"/>
    </row>
    <row r="1085">
      <c r="A1085" s="9"/>
      <c r="B1085" s="42"/>
      <c r="C1085" s="916"/>
    </row>
    <row r="1086">
      <c r="A1086" s="9"/>
      <c r="B1086" s="42"/>
      <c r="C1086" s="916"/>
    </row>
    <row r="1087">
      <c r="A1087" s="9"/>
      <c r="B1087" s="42"/>
      <c r="C1087" s="916"/>
    </row>
    <row r="1088">
      <c r="A1088" s="9"/>
      <c r="B1088" s="42"/>
      <c r="C1088" s="916"/>
    </row>
    <row r="1089">
      <c r="A1089" s="9"/>
      <c r="B1089" s="42"/>
      <c r="C1089" s="916"/>
    </row>
    <row r="1090">
      <c r="A1090" s="9"/>
      <c r="B1090" s="42"/>
      <c r="C1090" s="916"/>
    </row>
    <row r="1091">
      <c r="A1091" s="9"/>
      <c r="B1091" s="42"/>
      <c r="C1091" s="916"/>
    </row>
    <row r="1092">
      <c r="A1092" s="9"/>
      <c r="B1092" s="42"/>
      <c r="C1092" s="916"/>
    </row>
    <row r="1093">
      <c r="A1093" s="9"/>
      <c r="B1093" s="42"/>
      <c r="C1093" s="916"/>
    </row>
    <row r="1094">
      <c r="A1094" s="9"/>
      <c r="B1094" s="42"/>
      <c r="C1094" s="916"/>
    </row>
    <row r="1095">
      <c r="A1095" s="9"/>
      <c r="B1095" s="42"/>
      <c r="C1095" s="916"/>
    </row>
    <row r="1096">
      <c r="A1096" s="9"/>
      <c r="B1096" s="42"/>
      <c r="C1096" s="916"/>
    </row>
    <row r="1097">
      <c r="A1097" s="9"/>
      <c r="B1097" s="42"/>
      <c r="C1097" s="916"/>
    </row>
    <row r="1098">
      <c r="A1098" s="9"/>
      <c r="B1098" s="42"/>
      <c r="C1098" s="916"/>
    </row>
    <row r="1099">
      <c r="A1099" s="9"/>
      <c r="B1099" s="42"/>
      <c r="C1099" s="916"/>
    </row>
    <row r="1100">
      <c r="A1100" s="9"/>
      <c r="B1100" s="42"/>
      <c r="C1100" s="916"/>
    </row>
    <row r="1101">
      <c r="A1101" s="9"/>
      <c r="B1101" s="42"/>
      <c r="C1101" s="916"/>
    </row>
    <row r="1102">
      <c r="A1102" s="9"/>
      <c r="B1102" s="42"/>
      <c r="C1102" s="916"/>
    </row>
    <row r="1103">
      <c r="A1103" s="9"/>
      <c r="B1103" s="42"/>
      <c r="C1103" s="916"/>
    </row>
    <row r="1104">
      <c r="A1104" s="9"/>
      <c r="B1104" s="42"/>
      <c r="C1104" s="916"/>
    </row>
    <row r="1105">
      <c r="A1105" s="9"/>
      <c r="B1105" s="42"/>
      <c r="C1105" s="916"/>
    </row>
    <row r="1106">
      <c r="A1106" s="9"/>
      <c r="B1106" s="42"/>
      <c r="C1106" s="916"/>
    </row>
    <row r="1107">
      <c r="A1107" s="9"/>
      <c r="B1107" s="42"/>
      <c r="C1107" s="916"/>
    </row>
    <row r="1108">
      <c r="A1108" s="9"/>
      <c r="B1108" s="42"/>
      <c r="C1108" s="916"/>
    </row>
    <row r="1109">
      <c r="A1109" s="9"/>
      <c r="B1109" s="42"/>
      <c r="C1109" s="916"/>
    </row>
    <row r="1110">
      <c r="A1110" s="9"/>
      <c r="B1110" s="42"/>
      <c r="C1110" s="916"/>
    </row>
    <row r="1111">
      <c r="A1111" s="9"/>
      <c r="B1111" s="42"/>
      <c r="C1111" s="916"/>
    </row>
    <row r="1112">
      <c r="A1112" s="9"/>
      <c r="B1112" s="42"/>
      <c r="C1112" s="916"/>
    </row>
    <row r="1113">
      <c r="A1113" s="9"/>
      <c r="B1113" s="42"/>
      <c r="C1113" s="916"/>
    </row>
    <row r="1114">
      <c r="A1114" s="9"/>
      <c r="B1114" s="42"/>
      <c r="C1114" s="916"/>
    </row>
    <row r="1115">
      <c r="A1115" s="9"/>
      <c r="B1115" s="42"/>
      <c r="C1115" s="916"/>
    </row>
    <row r="1116">
      <c r="A1116" s="9"/>
      <c r="B1116" s="42"/>
      <c r="C1116" s="916"/>
    </row>
    <row r="1117">
      <c r="A1117" s="9"/>
      <c r="B1117" s="42"/>
      <c r="C1117" s="916"/>
    </row>
    <row r="1118">
      <c r="A1118" s="9"/>
      <c r="B1118" s="42"/>
      <c r="C1118" s="916"/>
    </row>
    <row r="1119">
      <c r="A1119" s="9"/>
      <c r="B1119" s="42"/>
      <c r="C1119" s="916"/>
    </row>
    <row r="1120">
      <c r="A1120" s="9"/>
      <c r="B1120" s="42"/>
      <c r="C1120" s="916"/>
    </row>
    <row r="1121">
      <c r="A1121" s="9"/>
      <c r="B1121" s="42"/>
      <c r="C1121" s="916"/>
    </row>
    <row r="1122">
      <c r="A1122" s="9"/>
      <c r="B1122" s="42"/>
      <c r="C1122" s="916"/>
    </row>
    <row r="1123">
      <c r="A1123" s="9"/>
      <c r="B1123" s="42"/>
      <c r="C1123" s="916"/>
    </row>
    <row r="1124">
      <c r="A1124" s="9"/>
      <c r="B1124" s="42"/>
      <c r="C1124" s="916"/>
    </row>
    <row r="1125">
      <c r="A1125" s="9"/>
      <c r="B1125" s="42"/>
      <c r="C1125" s="916"/>
    </row>
    <row r="1126">
      <c r="A1126" s="9"/>
      <c r="B1126" s="42"/>
      <c r="C1126" s="916"/>
    </row>
    <row r="1127">
      <c r="A1127" s="9"/>
      <c r="B1127" s="42"/>
      <c r="C1127" s="916"/>
    </row>
    <row r="1128">
      <c r="A1128" s="9"/>
      <c r="B1128" s="42"/>
      <c r="C1128" s="916"/>
    </row>
    <row r="1129">
      <c r="A1129" s="9"/>
      <c r="B1129" s="42"/>
      <c r="C1129" s="916"/>
    </row>
    <row r="1130">
      <c r="A1130" s="9"/>
      <c r="B1130" s="42"/>
      <c r="C1130" s="916"/>
    </row>
    <row r="1131">
      <c r="A1131" s="9"/>
      <c r="B1131" s="42"/>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97</v>
      </c>
      <c r="AD2" s="35"/>
      <c r="AE2" s="36"/>
      <c r="AF2" s="37" t="s">
        <v>95</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96</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98</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8" t="s">
        <v>568</v>
      </c>
      <c r="B6" s="44"/>
      <c r="E6" s="919" t="str">
        <f>Query_Formato!B168</f>
        <v>OPI-25-11-07-OF</v>
      </c>
      <c r="L6" s="45"/>
      <c r="M6" s="45"/>
      <c r="N6" s="45"/>
      <c r="O6" s="45"/>
      <c r="P6" s="45"/>
      <c r="Q6" s="45"/>
      <c r="R6" s="45"/>
      <c r="S6" s="45"/>
      <c r="T6" s="45"/>
      <c r="U6" s="45"/>
      <c r="V6" s="45"/>
      <c r="W6" s="45"/>
      <c r="X6" s="45"/>
      <c r="Y6" s="45"/>
      <c r="Z6" s="45"/>
      <c r="AB6" s="50"/>
      <c r="AC6" s="50"/>
      <c r="AF6" s="50" t="s">
        <v>99</v>
      </c>
      <c r="AG6" s="920">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21" t="s">
        <v>569</v>
      </c>
      <c r="E8" s="57"/>
      <c r="U8" s="67"/>
      <c r="X8" s="67"/>
      <c r="Y8" s="45"/>
      <c r="Z8" s="55" t="s">
        <v>102</v>
      </c>
      <c r="AA8" s="57" t="str">
        <f>Query_Formato!B156</f>
        <v>Federico Arellano</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2"/>
      <c r="X9" s="922"/>
      <c r="Y9" s="45"/>
      <c r="Z9" s="923"/>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101</v>
      </c>
      <c r="B10" s="55"/>
      <c r="C10" s="55"/>
      <c r="D10" s="55"/>
      <c r="E10" s="61" t="str">
        <f>Query_Formato!B9</f>
        <v>Pascal 2164 Colonia San Elias Guadalajara Jalisco 44240</v>
      </c>
      <c r="U10" s="67"/>
      <c r="X10" s="67"/>
      <c r="Y10" s="45"/>
      <c r="Z10" s="55" t="s">
        <v>103</v>
      </c>
      <c r="AA10" s="57"/>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2"/>
      <c r="J11" s="922"/>
      <c r="K11" s="922"/>
      <c r="L11" s="922"/>
      <c r="M11" s="922"/>
      <c r="N11" s="922"/>
      <c r="O11" s="922"/>
      <c r="P11" s="922"/>
      <c r="Q11" s="922"/>
      <c r="R11" s="922"/>
      <c r="S11" s="922"/>
      <c r="T11" s="922"/>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7"/>
      <c r="T13" s="928"/>
      <c r="W13" s="927"/>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7"/>
      <c r="T14" s="928"/>
      <c r="W14" s="927"/>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7"/>
      <c r="T15" s="928"/>
      <c r="W15" s="927"/>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7"/>
      <c r="T16" s="928"/>
      <c r="W16" s="927"/>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7"/>
      <c r="T17" s="928"/>
      <c r="W17" s="927"/>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7"/>
      <c r="T18" s="928"/>
      <c r="W18" s="927"/>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7"/>
      <c r="T19" s="928"/>
      <c r="W19" s="927"/>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7"/>
      <c r="T20" s="928"/>
      <c r="W20" s="927"/>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7"/>
      <c r="T21" s="928"/>
      <c r="W21" s="927"/>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7"/>
      <c r="T22" s="928"/>
      <c r="W22" s="927"/>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7"/>
      <c r="T23" s="928"/>
      <c r="W23" s="927"/>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7"/>
      <c r="T24" s="928"/>
      <c r="W24" s="927"/>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7"/>
      <c r="T25" s="928"/>
      <c r="W25" s="927"/>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7"/>
      <c r="T26" s="928"/>
      <c r="W26" s="927"/>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7"/>
      <c r="T27" s="928"/>
      <c r="W27" s="927"/>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7"/>
      <c r="T28" s="928"/>
      <c r="W28" s="927"/>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7"/>
      <c r="T29" s="928"/>
      <c r="W29" s="927"/>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7"/>
      <c r="T30" s="928"/>
      <c r="W30" s="927"/>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
      <c r="AI32" s="9"/>
      <c r="AJ32" s="9"/>
      <c r="AK32" s="932"/>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3" t="s">
        <v>570</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2"/>
      <c r="B34" s="932"/>
      <c r="C34" s="932"/>
      <c r="D34" s="932"/>
      <c r="E34" s="932"/>
      <c r="F34" s="934" t="s">
        <v>571</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5" t="s">
        <v>572</v>
      </c>
      <c r="D36" s="936"/>
      <c r="E36" s="936"/>
      <c r="F36" s="936"/>
      <c r="G36" s="936"/>
      <c r="H36" s="936"/>
      <c r="I36" s="936"/>
      <c r="J36" s="936"/>
      <c r="K36" s="936"/>
      <c r="L36" s="936"/>
      <c r="M36" s="941"/>
      <c r="N36" s="937" t="s">
        <v>573</v>
      </c>
      <c r="AA36" s="942"/>
      <c r="AB36" s="938" t="s">
        <v>574</v>
      </c>
      <c r="AC36" s="939"/>
      <c r="AD36" s="939"/>
      <c r="AE36" s="943"/>
      <c r="AF36" s="939"/>
      <c r="AG36" s="939"/>
      <c r="AH36" s="939"/>
      <c r="AI36" s="939"/>
      <c r="AJ36" s="939"/>
      <c r="AK36" s="939"/>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6" t="s">
        <v>575</v>
      </c>
      <c r="D38" s="947" t="str">
        <f>D40*1.1</f>
        <v>#DIV/0!</v>
      </c>
      <c r="L38" s="947"/>
      <c r="M38" s="942"/>
      <c r="N38" s="948" t="s">
        <v>281</v>
      </c>
      <c r="O38" s="945"/>
      <c r="P38" s="949"/>
      <c r="Q38" s="947" t="str">
        <f>Q40*1.1</f>
        <v>#DIV/0!</v>
      </c>
      <c r="AA38" s="942"/>
      <c r="AB38" s="948" t="s">
        <v>576</v>
      </c>
      <c r="AC38" s="939"/>
      <c r="AD38" s="939"/>
      <c r="AE38" s="943"/>
      <c r="AF38" s="939"/>
      <c r="AG38" s="939"/>
      <c r="AH38" s="939"/>
      <c r="AI38" s="950"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577</v>
      </c>
      <c r="AC39" s="939"/>
      <c r="AD39" s="939"/>
      <c r="AE39" s="953"/>
      <c r="AF39" s="939"/>
      <c r="AG39" s="939"/>
      <c r="AH39" s="939"/>
      <c r="AI39" s="950"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6" t="s">
        <v>578</v>
      </c>
      <c r="D40" s="954" t="str">
        <f>ROUND(AJ200,-3)</f>
        <v>#DIV/0!</v>
      </c>
      <c r="E40" s="85"/>
      <c r="F40" s="85"/>
      <c r="G40" s="85"/>
      <c r="H40" s="85"/>
      <c r="I40" s="85"/>
      <c r="J40" s="85"/>
      <c r="K40" s="86"/>
      <c r="L40" s="947"/>
      <c r="M40" s="942"/>
      <c r="N40" s="948" t="s">
        <v>579</v>
      </c>
      <c r="O40" s="945"/>
      <c r="P40" s="939"/>
      <c r="Q40" s="954" t="str">
        <f>ROUND(AI149,-3)</f>
        <v>#DIV/0!</v>
      </c>
      <c r="R40" s="85"/>
      <c r="S40" s="85"/>
      <c r="T40" s="85"/>
      <c r="U40" s="85"/>
      <c r="V40" s="85"/>
      <c r="W40" s="85"/>
      <c r="X40" s="85"/>
      <c r="Y40" s="86"/>
      <c r="AA40" s="942"/>
      <c r="AB40" s="955" t="s">
        <v>580</v>
      </c>
      <c r="AI40" s="956"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6" t="s">
        <v>581</v>
      </c>
      <c r="D42" s="951" t="str">
        <f>D40*0.9</f>
        <v>#DIV/0!</v>
      </c>
      <c r="L42" s="951"/>
      <c r="M42" s="942"/>
      <c r="N42" s="948" t="s">
        <v>276</v>
      </c>
      <c r="O42" s="945"/>
      <c r="P42" s="939"/>
      <c r="Q42" s="951" t="str">
        <f>Q40*0.9</f>
        <v>#DIV/0!</v>
      </c>
      <c r="AA42" s="942"/>
      <c r="AB42" s="960" t="s">
        <v>582</v>
      </c>
      <c r="AI42" s="950" t="str">
        <f>AN141</f>
        <v/>
      </c>
      <c r="AL42" s="959"/>
      <c r="AM42" s="959"/>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244</v>
      </c>
      <c r="AJ43" s="963"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4" t="s">
        <v>583</v>
      </c>
      <c r="B46" s="975"/>
      <c r="C46" s="975"/>
      <c r="D46" s="975"/>
      <c r="E46" s="975"/>
      <c r="F46" s="975"/>
      <c r="G46" s="975"/>
      <c r="H46" s="975"/>
      <c r="I46" s="975"/>
      <c r="J46" s="975"/>
      <c r="K46" s="976" t="str">
        <f>AG87</f>
        <v/>
      </c>
      <c r="L46" s="977"/>
      <c r="M46" s="977"/>
      <c r="N46" s="978" t="s">
        <v>584</v>
      </c>
      <c r="W46" s="979">
        <f>AR149*10</f>
        <v>0.08</v>
      </c>
      <c r="AB46" s="980" t="s">
        <v>585</v>
      </c>
      <c r="AC46" s="981"/>
      <c r="AD46" s="982"/>
      <c r="AE46" s="983"/>
      <c r="AF46" s="983"/>
      <c r="AG46" s="983"/>
      <c r="AH46" s="983"/>
      <c r="AI46" s="983"/>
      <c r="AJ46" s="983"/>
      <c r="AK46" s="983"/>
      <c r="AL46" s="984"/>
      <c r="AM46" s="985"/>
      <c r="AN46" s="985"/>
      <c r="AO46" s="986"/>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4" t="s">
        <v>586</v>
      </c>
      <c r="I48" s="991" t="str">
        <f>AK84</f>
        <v/>
      </c>
      <c r="L48" s="939"/>
      <c r="M48" s="939"/>
      <c r="N48" s="992" t="s">
        <v>587</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4" t="s">
        <v>588</v>
      </c>
      <c r="H49" s="998" t="str">
        <f>AN84</f>
        <v/>
      </c>
      <c r="M49" s="939"/>
      <c r="N49" s="992" t="s">
        <v>589</v>
      </c>
      <c r="O49" s="993"/>
      <c r="P49" s="965"/>
      <c r="Q49" s="965"/>
      <c r="R49" s="999"/>
      <c r="S49" s="965"/>
      <c r="T49" s="965"/>
      <c r="U49" s="965"/>
      <c r="V49" s="965"/>
      <c r="W49" s="1000">
        <f>A87</f>
        <v>2026</v>
      </c>
      <c r="AB49" s="1001" t="s">
        <v>590</v>
      </c>
      <c r="AD49" s="939"/>
      <c r="AE49" s="939"/>
      <c r="AF49" s="939"/>
      <c r="AG49" s="939"/>
      <c r="AH49" s="1002"/>
      <c r="AI49" s="1003"/>
      <c r="AM49" s="100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2" t="s">
        <v>576</v>
      </c>
      <c r="H50" s="1005">
        <f>C111</f>
        <v>0</v>
      </c>
      <c r="M50" s="965"/>
      <c r="N50" s="992" t="s">
        <v>591</v>
      </c>
      <c r="O50" s="1006"/>
      <c r="P50" s="1007"/>
      <c r="Q50" s="1007"/>
      <c r="R50" s="999"/>
      <c r="S50" s="965"/>
      <c r="T50" s="965"/>
      <c r="U50" s="965"/>
      <c r="V50" s="965"/>
      <c r="W50" s="1000">
        <f>I87</f>
        <v>-1966</v>
      </c>
      <c r="AB50" s="1008" t="s">
        <v>592</v>
      </c>
      <c r="AC50" s="965"/>
      <c r="AD50" s="965"/>
      <c r="AE50" s="965"/>
      <c r="AF50" s="965"/>
      <c r="AG50" s="965"/>
      <c r="AH50" s="1009"/>
      <c r="AM50" s="1006"/>
      <c r="AN50" s="34"/>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2" t="s">
        <v>577</v>
      </c>
      <c r="B51" s="993"/>
      <c r="C51" s="965"/>
      <c r="D51" s="965"/>
      <c r="E51" s="994"/>
      <c r="F51" s="965"/>
      <c r="G51" s="965"/>
      <c r="H51" s="1010">
        <f>K123</f>
        <v>0</v>
      </c>
      <c r="M51" s="965"/>
      <c r="N51" s="992" t="s">
        <v>593</v>
      </c>
      <c r="O51" s="1006"/>
      <c r="P51" s="1007"/>
      <c r="Q51" s="1007"/>
      <c r="R51" s="999"/>
      <c r="S51" s="965"/>
      <c r="T51" s="965"/>
      <c r="U51" s="965"/>
      <c r="V51" s="965"/>
      <c r="W51" s="1011">
        <f>AL87</f>
        <v>1</v>
      </c>
      <c r="AB51" s="1012" t="s">
        <v>594</v>
      </c>
      <c r="AF51" s="1013"/>
      <c r="AG51" s="1014"/>
      <c r="AM51" s="1006"/>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5" t="s">
        <v>595</v>
      </c>
      <c r="N52" s="1006"/>
      <c r="O52" s="1006"/>
      <c r="P52" s="1006"/>
      <c r="Q52" s="1006"/>
      <c r="R52" s="1006"/>
      <c r="S52" s="1006"/>
      <c r="T52" s="1006"/>
      <c r="U52" s="1006"/>
      <c r="V52" s="1006"/>
      <c r="W52" s="1006"/>
      <c r="X52" s="1006"/>
      <c r="Y52" s="1006"/>
      <c r="Z52" s="965"/>
      <c r="AA52" s="965"/>
      <c r="AB52" s="1016" t="s">
        <v>596</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6"/>
      <c r="O53" s="1006"/>
      <c r="P53" s="1006"/>
      <c r="Q53" s="1006"/>
      <c r="R53" s="1006"/>
      <c r="S53" s="1006"/>
      <c r="T53" s="1006"/>
      <c r="U53" s="1006"/>
      <c r="V53" s="1006"/>
      <c r="W53" s="1006"/>
      <c r="X53" s="1006"/>
      <c r="Y53" s="1006"/>
      <c r="Z53" s="965"/>
      <c r="AA53" s="965"/>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7" t="str">
        <f>AJ144/AJ146/100</f>
        <v>#DIV/0!</v>
      </c>
      <c r="E54" s="1018"/>
      <c r="O54" s="1006"/>
      <c r="P54" s="1006"/>
      <c r="Q54" s="1006"/>
      <c r="R54" s="1006"/>
      <c r="S54" s="1006"/>
      <c r="T54" s="1006"/>
      <c r="U54" s="1006"/>
      <c r="V54" s="1006"/>
      <c r="W54" s="1006"/>
      <c r="X54" s="1006"/>
      <c r="Y54" s="1006"/>
      <c r="Z54" s="965"/>
      <c r="AA54" s="965"/>
      <c r="AB54" s="1019" t="str">
        <f>$AR$144</f>
        <v>#DIV/0!</v>
      </c>
      <c r="AF54" s="1020"/>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21" t="s">
        <v>597</v>
      </c>
      <c r="O55" s="1006"/>
      <c r="P55" s="1006"/>
      <c r="Q55" s="1006"/>
      <c r="R55" s="1006"/>
      <c r="S55" s="1006"/>
      <c r="T55" s="1006"/>
      <c r="U55" s="1006"/>
      <c r="V55" s="1006"/>
      <c r="W55" s="1006"/>
      <c r="X55" s="1006"/>
      <c r="Y55" s="1006"/>
      <c r="Z55" s="965"/>
      <c r="AA55" s="965"/>
      <c r="AB55" s="1022" t="s">
        <v>597</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3"/>
      <c r="O56" s="1006"/>
      <c r="P56" s="1006"/>
      <c r="Q56" s="1006"/>
      <c r="R56" s="1006"/>
      <c r="S56" s="1006"/>
      <c r="T56" s="1006"/>
      <c r="U56" s="1006"/>
      <c r="V56" s="1006"/>
      <c r="W56" s="1006"/>
      <c r="X56" s="1006"/>
      <c r="Y56" s="1006"/>
      <c r="Z56" s="965"/>
      <c r="AA56" s="965"/>
      <c r="AB56" s="102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6"/>
      <c r="P57" s="1006"/>
      <c r="Q57" s="1006"/>
      <c r="R57" s="1006"/>
      <c r="S57" s="1006"/>
      <c r="T57" s="1006"/>
      <c r="U57" s="1006"/>
      <c r="V57" s="1006"/>
      <c r="W57" s="1006"/>
      <c r="X57" s="1006"/>
      <c r="Y57" s="1006"/>
      <c r="Z57" s="965"/>
      <c r="AA57" s="965"/>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5"/>
      <c r="B58" s="993"/>
      <c r="C58" s="965"/>
      <c r="D58" s="965"/>
      <c r="E58" s="965"/>
      <c r="F58" s="965"/>
      <c r="G58" s="965"/>
      <c r="H58" s="965"/>
      <c r="I58" s="965"/>
      <c r="J58" s="965"/>
      <c r="K58" s="965"/>
      <c r="L58" s="965"/>
      <c r="M58" s="965"/>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6"/>
      <c r="B59" s="1026"/>
      <c r="C59" s="1026"/>
      <c r="D59" s="1026"/>
      <c r="E59" s="1027" t="s">
        <v>598</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6"/>
      <c r="AH59" s="1026"/>
      <c r="AI59" s="1026"/>
      <c r="AJ59" s="1026"/>
      <c r="AK59" s="1026"/>
      <c r="AL59" s="1026"/>
      <c r="AM59" s="1026"/>
      <c r="AN59" s="1026"/>
      <c r="AO59" s="1026"/>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8"/>
      <c r="B60" s="1028"/>
      <c r="C60" s="1028"/>
      <c r="D60" s="1028"/>
      <c r="E60" s="1028"/>
      <c r="F60" s="1028"/>
      <c r="G60" s="1028"/>
      <c r="H60" s="1028"/>
      <c r="I60" s="1028"/>
      <c r="J60" s="1028"/>
      <c r="K60" s="1028"/>
      <c r="L60" s="1028"/>
      <c r="M60" s="958"/>
      <c r="N60" s="1028"/>
      <c r="O60" s="1028"/>
      <c r="P60" s="1028"/>
      <c r="Q60" s="1028"/>
      <c r="R60" s="1028"/>
      <c r="S60" s="1028"/>
      <c r="T60" s="1028"/>
      <c r="U60" s="1028"/>
      <c r="V60" s="1028"/>
      <c r="W60" s="1028"/>
      <c r="X60" s="1028"/>
      <c r="Y60" s="1028"/>
      <c r="Z60" s="1029"/>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8" t="s">
        <v>599</v>
      </c>
      <c r="M61" s="1030"/>
      <c r="N61" s="1028" t="s">
        <v>600</v>
      </c>
      <c r="Z61" s="1031"/>
      <c r="AA61" s="34"/>
      <c r="AB61" s="978" t="s">
        <v>601</v>
      </c>
      <c r="AK61" s="979"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30"/>
      <c r="Z62" s="1031"/>
      <c r="AA62" s="34"/>
      <c r="AK62" s="939"/>
      <c r="AL62" s="939"/>
      <c r="AM62" s="939"/>
      <c r="AN62" s="939"/>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6" t="s">
        <v>602</v>
      </c>
      <c r="D63" s="947" t="str">
        <f>D65*1.1</f>
        <v>#DIV/0!</v>
      </c>
      <c r="L63" s="947"/>
      <c r="M63" s="1032"/>
      <c r="N63" s="946" t="s">
        <v>603</v>
      </c>
      <c r="Q63" s="1033" t="str">
        <f>Q65*1.1</f>
        <v>#DIV/0!</v>
      </c>
      <c r="Z63" s="1031"/>
      <c r="AA63" s="34"/>
      <c r="AB63" s="1034" t="s">
        <v>604</v>
      </c>
      <c r="AC63" s="34"/>
      <c r="AD63" s="34"/>
      <c r="AE63" s="34"/>
      <c r="AF63" s="34"/>
      <c r="AG63" s="34"/>
      <c r="AH63" s="34"/>
      <c r="AK63" s="1035"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51"/>
      <c r="E64" s="952"/>
      <c r="F64" s="951"/>
      <c r="G64" s="951"/>
      <c r="H64" s="951"/>
      <c r="I64" s="951"/>
      <c r="J64" s="939"/>
      <c r="K64" s="939"/>
      <c r="L64" s="939"/>
      <c r="M64" s="1032"/>
      <c r="Q64" s="958"/>
      <c r="R64" s="1036"/>
      <c r="S64" s="958"/>
      <c r="T64" s="958"/>
      <c r="U64" s="958"/>
      <c r="V64" s="958"/>
      <c r="W64" s="958"/>
      <c r="X64" s="958"/>
      <c r="Y64" s="958"/>
      <c r="Z64" s="1031"/>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6" t="s">
        <v>605</v>
      </c>
      <c r="D65" s="954" t="str">
        <f>AJ146</f>
        <v>#DIV/0!</v>
      </c>
      <c r="E65" s="85"/>
      <c r="F65" s="85"/>
      <c r="G65" s="85"/>
      <c r="H65" s="85"/>
      <c r="I65" s="85"/>
      <c r="J65" s="85"/>
      <c r="K65" s="86"/>
      <c r="L65" s="947"/>
      <c r="M65" s="1032"/>
      <c r="N65" s="946" t="s">
        <v>606</v>
      </c>
      <c r="Q65" s="1037" t="str">
        <f>AI150</f>
        <v>#DIV/0!</v>
      </c>
      <c r="R65" s="85"/>
      <c r="S65" s="85"/>
      <c r="T65" s="85"/>
      <c r="U65" s="85"/>
      <c r="V65" s="85"/>
      <c r="W65" s="85"/>
      <c r="X65" s="85"/>
      <c r="Y65" s="86"/>
      <c r="Z65" s="1031"/>
      <c r="AA65" s="34"/>
      <c r="AB65" s="1038" t="s">
        <v>607</v>
      </c>
      <c r="AC65" s="34"/>
      <c r="AD65" s="34"/>
      <c r="AE65" s="34"/>
      <c r="AF65" s="34"/>
      <c r="AG65" s="34"/>
      <c r="AH65" s="34"/>
      <c r="AI65" s="34"/>
      <c r="AJ65" s="34"/>
      <c r="AK65" s="34"/>
      <c r="AL65" s="34"/>
      <c r="AM65" s="1016"/>
      <c r="AN65" s="1016"/>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51"/>
      <c r="E66" s="957"/>
      <c r="F66" s="951"/>
      <c r="G66" s="951"/>
      <c r="H66" s="951"/>
      <c r="I66" s="951"/>
      <c r="J66" s="939"/>
      <c r="K66" s="939"/>
      <c r="L66" s="939"/>
      <c r="M66" s="1032"/>
      <c r="Q66" s="958"/>
      <c r="R66" s="1036"/>
      <c r="S66" s="958"/>
      <c r="T66" s="958"/>
      <c r="U66" s="958"/>
      <c r="V66" s="958"/>
      <c r="W66" s="958"/>
      <c r="X66" s="958"/>
      <c r="Y66" s="958"/>
      <c r="Z66" s="1031"/>
      <c r="AA66" s="34"/>
      <c r="AB66" s="1039"/>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6" t="s">
        <v>608</v>
      </c>
      <c r="D67" s="951" t="str">
        <f>D65*0.9</f>
        <v>#DIV/0!</v>
      </c>
      <c r="L67" s="951"/>
      <c r="M67" s="1032"/>
      <c r="N67" s="946" t="s">
        <v>609</v>
      </c>
      <c r="Q67" s="1040" t="str">
        <f>Q65*0.9</f>
        <v>#DIV/0!</v>
      </c>
      <c r="Z67" s="1031"/>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30"/>
      <c r="Q68" s="1029"/>
      <c r="R68" s="1029"/>
      <c r="S68" s="1029"/>
      <c r="T68" s="1029"/>
      <c r="U68" s="1029"/>
      <c r="V68" s="1029"/>
      <c r="W68" s="1029"/>
      <c r="X68" s="1029"/>
      <c r="Y68" s="1029"/>
      <c r="Z68" s="1031"/>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107</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108</v>
      </c>
      <c r="F72" s="107"/>
      <c r="G72" s="107"/>
      <c r="H72" s="92"/>
      <c r="I72" s="34"/>
      <c r="J72" s="34"/>
      <c r="K72" s="1041"/>
      <c r="L72" s="95"/>
      <c r="M72" s="95"/>
      <c r="N72" s="95"/>
      <c r="O72" s="95"/>
      <c r="P72" s="96"/>
      <c r="Q72" s="720"/>
      <c r="R72" s="1042"/>
      <c r="S72" s="738" t="s">
        <v>109</v>
      </c>
      <c r="T72" s="1042"/>
      <c r="U72" s="1042"/>
      <c r="V72" s="1042"/>
      <c r="W72" s="1042"/>
      <c r="X72" s="1042"/>
      <c r="Y72" s="720"/>
      <c r="Z72" s="720"/>
      <c r="AA72" s="1041"/>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42"/>
      <c r="L73" s="1043"/>
      <c r="M73" s="1043"/>
      <c r="N73" s="1042"/>
      <c r="O73" s="1042"/>
      <c r="P73" s="1042"/>
      <c r="Q73" s="1042"/>
      <c r="R73" s="1042"/>
      <c r="S73" s="1042"/>
      <c r="T73" s="1042"/>
      <c r="U73" s="1042"/>
      <c r="V73" s="1042"/>
      <c r="W73" s="1042"/>
      <c r="X73" s="1042"/>
      <c r="Y73" s="1042"/>
      <c r="Z73" s="1042"/>
      <c r="AA73" s="1042"/>
      <c r="AB73" s="1042"/>
      <c r="AC73" s="1042"/>
      <c r="AD73" s="1044"/>
      <c r="AE73" s="1044"/>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5"/>
      <c r="M74" s="1045"/>
      <c r="N74" s="1042"/>
      <c r="O74" s="720"/>
      <c r="P74" s="720"/>
      <c r="Q74" s="720"/>
      <c r="R74" s="720"/>
      <c r="S74" s="720"/>
      <c r="T74" s="720"/>
      <c r="U74" s="720"/>
      <c r="V74" s="720"/>
      <c r="W74" s="720"/>
      <c r="X74" s="1042"/>
      <c r="Y74" s="1046"/>
      <c r="Z74" s="1046"/>
      <c r="AA74" s="1047"/>
      <c r="AB74" s="1047"/>
      <c r="AC74" s="1042"/>
      <c r="AD74" s="1042"/>
      <c r="AE74" s="1042"/>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8" t="s">
        <v>111</v>
      </c>
      <c r="I75" s="97"/>
      <c r="J75" s="97"/>
      <c r="K75" s="1049"/>
      <c r="L75" s="95"/>
      <c r="M75" s="95"/>
      <c r="N75" s="95"/>
      <c r="O75" s="95"/>
      <c r="P75" s="95"/>
      <c r="Q75" s="95"/>
      <c r="R75" s="95"/>
      <c r="S75" s="95"/>
      <c r="T75" s="96"/>
      <c r="U75" s="1050"/>
      <c r="V75" s="1050"/>
      <c r="W75" s="1051"/>
      <c r="X75" s="1052" t="s">
        <v>112</v>
      </c>
      <c r="AD75" s="1053"/>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8" t="s">
        <v>114</v>
      </c>
      <c r="B78" s="128"/>
      <c r="C78" s="90"/>
      <c r="D78" s="90"/>
      <c r="E78" s="90"/>
      <c r="F78" s="92"/>
      <c r="G78" s="92"/>
      <c r="H78" s="90"/>
      <c r="I78" s="34"/>
      <c r="J78" s="34"/>
      <c r="K78" s="1054"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5"/>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5"/>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8" t="s">
        <v>115</v>
      </c>
      <c r="B81" s="132"/>
      <c r="C81" s="133"/>
      <c r="D81" s="133"/>
      <c r="E81" s="56"/>
      <c r="F81" s="56"/>
      <c r="G81" s="56"/>
      <c r="H81" s="56"/>
      <c r="I81" s="134"/>
      <c r="J81" s="34"/>
      <c r="K81" s="1056"/>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116</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5"/>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52"/>
      <c r="D83" s="1052"/>
      <c r="E83" s="1052"/>
      <c r="F83" s="1052"/>
      <c r="G83" s="1052"/>
      <c r="H83" s="1052"/>
      <c r="I83" s="1052"/>
      <c r="J83" s="720"/>
      <c r="K83" s="720"/>
      <c r="L83" s="1057"/>
      <c r="M83" s="1057"/>
      <c r="N83" s="1057"/>
      <c r="O83" s="1057"/>
      <c r="P83" s="1057"/>
      <c r="Q83" s="1057"/>
      <c r="R83" s="1057"/>
      <c r="S83" s="720"/>
      <c r="T83" s="720"/>
      <c r="U83" s="720"/>
      <c r="V83" s="1058" t="s">
        <v>117</v>
      </c>
      <c r="W83" s="720"/>
      <c r="X83" s="1058" t="s">
        <v>118</v>
      </c>
      <c r="Y83" s="1057"/>
      <c r="AA83" s="1059" t="s">
        <v>119</v>
      </c>
      <c r="AC83" s="1060" t="s">
        <v>120</v>
      </c>
      <c r="AE83" s="1057"/>
      <c r="AF83" s="212" t="s">
        <v>121</v>
      </c>
      <c r="AG83" s="1057"/>
      <c r="AH83" s="1061" t="s">
        <v>122</v>
      </c>
      <c r="AI83" s="155"/>
      <c r="AJ83" s="1057"/>
      <c r="AK83" s="1062" t="s">
        <v>123</v>
      </c>
      <c r="AL83" s="720"/>
      <c r="AM83" s="720"/>
      <c r="AN83" s="212" t="s">
        <v>124</v>
      </c>
      <c r="AP83" s="31"/>
      <c r="AQ83" s="31"/>
      <c r="AR83" s="157" t="s">
        <v>125</v>
      </c>
      <c r="AS83" s="158"/>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52" t="s">
        <v>126</v>
      </c>
      <c r="B84" s="1052"/>
      <c r="C84" s="1052"/>
      <c r="D84" s="1052"/>
      <c r="E84" s="1052"/>
      <c r="F84" s="1063"/>
      <c r="G84" s="120"/>
      <c r="H84" s="121"/>
      <c r="I84" s="1052"/>
      <c r="J84" s="1064"/>
      <c r="K84" s="1065" t="str">
        <f>UPPER(CONCATENATE(VLOOKUP(F84,'catalogo 2'!L15:N113,2,0)," ",(VLOOKUP(F84,'catalogo 2'!L15:N113,3,0)))) </f>
        <v>#N/A</v>
      </c>
      <c r="L84" s="120"/>
      <c r="M84" s="120"/>
      <c r="N84" s="120"/>
      <c r="O84" s="120"/>
      <c r="P84" s="120"/>
      <c r="Q84" s="120"/>
      <c r="R84" s="120"/>
      <c r="S84" s="120"/>
      <c r="T84" s="121"/>
      <c r="U84" s="1066"/>
      <c r="V84" s="1067" t="str">
        <f>VLOOKUP(F84,'catalogo 2'!M5:AJ85,14,0)</f>
        <v>#N/A</v>
      </c>
      <c r="W84" s="121"/>
      <c r="X84" s="1068" t="str">
        <f>VLOOKUP(F84,'catalogo 2'!M5:AJ85,16,0)</f>
        <v>#N/A</v>
      </c>
      <c r="Y84" s="121"/>
      <c r="Z84" s="175"/>
      <c r="AA84" s="164" t="str">
        <f>VLOOKUP(F84,'catalogo 2'!M5:AJ85,11,0)</f>
        <v>#N/A</v>
      </c>
      <c r="AB84" s="120"/>
      <c r="AC84" s="166" t="str">
        <f>VLOOKUP(F84,'catalogo 2'!M5:AJ85,10,0)</f>
        <v>#N/A</v>
      </c>
      <c r="AD84" s="121"/>
      <c r="AE84" s="148"/>
      <c r="AF84" s="1069" t="str">
        <f>VLOOKUP(F84,'catalogo 2'!M5:AJ85,18,0)</f>
        <v>#N/A</v>
      </c>
      <c r="AG84" s="1057"/>
      <c r="AH84" s="1070"/>
      <c r="AI84" s="169"/>
      <c r="AJ84" s="720"/>
      <c r="AK84" s="1071"/>
      <c r="AL84" s="169"/>
      <c r="AM84" s="1072"/>
      <c r="AN84" s="1073"/>
      <c r="AO84" s="142"/>
      <c r="AP84" s="31"/>
      <c r="AQ84" s="31"/>
      <c r="AR84" s="173" t="s">
        <v>129</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5"/>
      <c r="B85" s="1055"/>
      <c r="C85" s="494"/>
      <c r="D85" s="494"/>
      <c r="E85" s="1042"/>
      <c r="F85" s="1042"/>
      <c r="G85" s="1042"/>
      <c r="H85" s="1042"/>
      <c r="I85" s="1074"/>
      <c r="J85" s="1074"/>
      <c r="K85" s="1074"/>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8" t="s">
        <v>130</v>
      </c>
      <c r="B86" s="1048"/>
      <c r="C86" s="1048"/>
      <c r="D86" s="1048"/>
      <c r="E86" s="720"/>
      <c r="F86" s="1075" t="s">
        <v>131</v>
      </c>
      <c r="G86" s="720"/>
      <c r="H86" s="720"/>
      <c r="I86" s="1048" t="s">
        <v>132</v>
      </c>
      <c r="J86" s="1048"/>
      <c r="K86" s="1048"/>
      <c r="L86" s="720"/>
      <c r="M86" s="1048" t="s">
        <v>133</v>
      </c>
      <c r="N86" s="1048"/>
      <c r="O86" s="1048"/>
      <c r="P86" s="1048"/>
      <c r="Q86" s="720"/>
      <c r="R86" s="1048" t="s">
        <v>134</v>
      </c>
      <c r="S86" s="1048"/>
      <c r="T86" s="720"/>
      <c r="U86" s="1048"/>
      <c r="V86" s="1048" t="s">
        <v>135</v>
      </c>
      <c r="W86" s="720"/>
      <c r="X86" s="1052"/>
      <c r="Y86" s="1052"/>
      <c r="Z86" s="1052"/>
      <c r="AA86" s="1052" t="s">
        <v>136</v>
      </c>
      <c r="AB86" s="720"/>
      <c r="AC86" s="1052"/>
      <c r="AD86" s="1052"/>
      <c r="AE86" s="1052"/>
      <c r="AF86" s="1052"/>
      <c r="AG86" s="1076" t="s">
        <v>610</v>
      </c>
      <c r="AH86" s="1048"/>
      <c r="AI86" s="720"/>
      <c r="AJ86" s="1052"/>
      <c r="AK86" s="1052"/>
      <c r="AL86" s="1077" t="s">
        <v>138</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8">
        <f>+AS84</f>
        <v>2026</v>
      </c>
      <c r="B87" s="95"/>
      <c r="C87" s="95"/>
      <c r="D87" s="96"/>
      <c r="E87" s="1079"/>
      <c r="F87" s="1080">
        <f>IF(OR(R87="MEDIO",R87="SUPERIOR",R87="LUJO"),70,60)</f>
        <v>60</v>
      </c>
      <c r="G87" s="183"/>
      <c r="H87" s="1064"/>
      <c r="I87" s="1078">
        <f>IF(OR(R87="MEDIO",R87="SUPERIOR",R87="LUJO"),70,60)-A87</f>
        <v>-1966</v>
      </c>
      <c r="J87" s="95"/>
      <c r="K87" s="96"/>
      <c r="L87" s="720"/>
      <c r="M87" s="1081"/>
      <c r="N87" s="185"/>
      <c r="O87" s="185"/>
      <c r="P87" s="183"/>
      <c r="Q87" s="1064"/>
      <c r="R87" s="1082"/>
      <c r="S87" s="120"/>
      <c r="T87" s="121"/>
      <c r="U87" s="1064"/>
      <c r="V87" s="1083"/>
      <c r="W87" s="120"/>
      <c r="X87" s="121"/>
      <c r="Y87" s="1064"/>
      <c r="Z87" s="1084"/>
      <c r="AA87" s="120"/>
      <c r="AB87" s="120"/>
      <c r="AC87" s="120"/>
      <c r="AD87" s="120"/>
      <c r="AE87" s="120"/>
      <c r="AF87" s="1085"/>
      <c r="AG87" s="1086"/>
      <c r="AH87" s="120"/>
      <c r="AI87" s="120"/>
      <c r="AJ87" s="121"/>
      <c r="AK87" s="1087"/>
      <c r="AL87" s="1088">
        <v>1.0</v>
      </c>
      <c r="AM87" s="1089"/>
      <c r="AN87" s="1089"/>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139</v>
      </c>
      <c r="B89" s="198"/>
      <c r="C89" s="34"/>
      <c r="D89" s="197"/>
      <c r="E89" s="101"/>
      <c r="F89" s="101"/>
      <c r="G89" s="101"/>
      <c r="H89" s="34"/>
      <c r="I89" s="1090" t="s">
        <v>611</v>
      </c>
      <c r="U89" s="200"/>
      <c r="X89" s="201" t="str">
        <f>VLOOKUP("3.jp*g",Fotos!$A$2:$E399,5,FALSE)</f>
        <v/>
      </c>
      <c r="AO89" s="202"/>
      <c r="AP89" s="31"/>
      <c r="AQ89" s="31"/>
      <c r="AR89" s="203"/>
      <c r="AS89" s="204" t="s">
        <v>140</v>
      </c>
      <c r="AT89" s="1091"/>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141</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142</v>
      </c>
      <c r="D91" s="213"/>
      <c r="E91" s="1092"/>
      <c r="G91" s="1093"/>
      <c r="H91" s="1094"/>
      <c r="U91" s="216"/>
      <c r="AO91" s="202"/>
      <c r="AP91" s="31"/>
      <c r="AQ91" s="31"/>
      <c r="AR91" s="208"/>
      <c r="AS91" s="209" t="s">
        <v>143</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92"/>
      <c r="G92" s="1095"/>
      <c r="H92" s="1094"/>
      <c r="U92" s="219"/>
      <c r="AO92" s="202"/>
      <c r="AP92" s="31"/>
      <c r="AQ92" s="31"/>
      <c r="AR92" s="208"/>
      <c r="AS92" s="209" t="s">
        <v>144</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92"/>
      <c r="G93" s="1095"/>
      <c r="H93" s="1094"/>
      <c r="U93" s="219"/>
      <c r="AO93" s="202"/>
      <c r="AP93" s="31"/>
      <c r="AQ93" s="31"/>
      <c r="AR93" s="208"/>
      <c r="AS93" s="209" t="s">
        <v>145</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92"/>
      <c r="G94" s="1095"/>
      <c r="H94" s="1094"/>
      <c r="U94" s="220"/>
      <c r="AO94" s="202"/>
      <c r="AP94" s="31"/>
      <c r="AQ94" s="31"/>
      <c r="AR94" s="208"/>
      <c r="AS94" s="209" t="s">
        <v>146</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147</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148</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149</v>
      </c>
      <c r="AT96" s="1096"/>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7"/>
      <c r="U97" s="227"/>
      <c r="AO97" s="202"/>
      <c r="AP97" s="31"/>
      <c r="AQ97" s="31"/>
      <c r="AR97" s="228"/>
      <c r="AS97" s="229" t="s">
        <v>150</v>
      </c>
      <c r="AT97" s="1098"/>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151</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152</v>
      </c>
      <c r="D105" s="243"/>
      <c r="E105" s="244"/>
      <c r="F105" s="245"/>
      <c r="G105" s="245"/>
      <c r="H105" s="245"/>
      <c r="I105" s="245"/>
      <c r="J105" s="245"/>
      <c r="K105" s="245"/>
      <c r="L105" s="245"/>
      <c r="M105" s="245"/>
      <c r="N105" s="244"/>
      <c r="O105" s="244"/>
      <c r="P105" s="246" t="s">
        <v>153</v>
      </c>
      <c r="Q105" s="245" t="s">
        <v>154</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155</v>
      </c>
      <c r="B106" s="253"/>
      <c r="C106" s="254" t="s">
        <v>156</v>
      </c>
      <c r="D106" s="255"/>
      <c r="E106" s="255"/>
      <c r="F106" s="253"/>
      <c r="G106" s="256" t="s">
        <v>157</v>
      </c>
      <c r="H106" s="255"/>
      <c r="I106" s="255"/>
      <c r="J106" s="253"/>
      <c r="K106" s="257" t="s">
        <v>158</v>
      </c>
      <c r="L106" s="85"/>
      <c r="M106" s="85"/>
      <c r="N106" s="85"/>
      <c r="O106" s="85"/>
      <c r="P106" s="85"/>
      <c r="Q106" s="85"/>
      <c r="R106" s="85"/>
      <c r="S106" s="85"/>
      <c r="T106" s="85"/>
      <c r="U106" s="85"/>
      <c r="V106" s="85"/>
      <c r="W106" s="85"/>
      <c r="X106" s="85"/>
      <c r="Y106" s="85"/>
      <c r="Z106" s="85"/>
      <c r="AA106" s="85"/>
      <c r="AB106" s="86"/>
      <c r="AC106" s="258" t="s">
        <v>159</v>
      </c>
      <c r="AD106" s="255"/>
      <c r="AE106" s="255"/>
      <c r="AF106" s="253"/>
      <c r="AG106" s="258" t="s">
        <v>160</v>
      </c>
      <c r="AH106" s="255"/>
      <c r="AI106" s="253"/>
      <c r="AJ106" s="258" t="s">
        <v>161</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162</v>
      </c>
      <c r="L107" s="86"/>
      <c r="M107" s="257" t="s">
        <v>163</v>
      </c>
      <c r="N107" s="85"/>
      <c r="O107" s="86"/>
      <c r="P107" s="262" t="s">
        <v>164</v>
      </c>
      <c r="Q107" s="263"/>
      <c r="R107" s="264" t="s">
        <v>165</v>
      </c>
      <c r="S107" s="263"/>
      <c r="T107" s="262" t="s">
        <v>166</v>
      </c>
      <c r="W107" s="263"/>
      <c r="X107" s="262" t="s">
        <v>167</v>
      </c>
      <c r="Y107" s="263"/>
      <c r="Z107" s="257" t="s">
        <v>168</v>
      </c>
      <c r="AA107" s="85"/>
      <c r="AB107" s="86"/>
      <c r="AC107" s="265" t="s">
        <v>169</v>
      </c>
      <c r="AD107" s="251"/>
      <c r="AE107" s="251"/>
      <c r="AF107" s="261"/>
      <c r="AG107" s="265"/>
      <c r="AH107" s="251"/>
      <c r="AI107" s="261"/>
      <c r="AJ107" s="265" t="s">
        <v>169</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9"/>
      <c r="D108" s="255"/>
      <c r="E108" s="255"/>
      <c r="F108" s="253"/>
      <c r="G108" s="1100"/>
      <c r="H108" s="255"/>
      <c r="I108" s="255"/>
      <c r="J108" s="253"/>
      <c r="K108" s="1101">
        <v>1.0</v>
      </c>
      <c r="L108" s="253"/>
      <c r="M108" s="1101">
        <v>1.0</v>
      </c>
      <c r="N108" s="255"/>
      <c r="O108" s="253"/>
      <c r="P108" s="1101">
        <v>1.0</v>
      </c>
      <c r="Q108" s="255"/>
      <c r="R108" s="1102">
        <v>1.0</v>
      </c>
      <c r="S108" s="253"/>
      <c r="T108" s="1101">
        <v>1.0</v>
      </c>
      <c r="U108" s="255"/>
      <c r="V108" s="255"/>
      <c r="W108" s="253"/>
      <c r="X108" s="1103">
        <v>1.0</v>
      </c>
      <c r="Y108" s="255"/>
      <c r="Z108" s="1104">
        <f t="shared" ref="Z108:Z109" si="1">ROUND(K108*M108*P108*R108*T108*X108,2)</f>
        <v>1</v>
      </c>
      <c r="AB108" s="263"/>
      <c r="AC108" s="1105">
        <f t="shared" ref="AC108:AC110" si="2">+Z108*G108</f>
        <v>0</v>
      </c>
      <c r="AF108" s="263"/>
      <c r="AG108" s="1106">
        <v>1.0</v>
      </c>
      <c r="AI108" s="263"/>
      <c r="AJ108" s="1105">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7">
        <v>0.0</v>
      </c>
      <c r="F109" s="263"/>
      <c r="G109" s="1108">
        <v>1.0</v>
      </c>
      <c r="J109" s="263"/>
      <c r="K109" s="1109">
        <v>1.0</v>
      </c>
      <c r="L109" s="263"/>
      <c r="M109" s="1109">
        <v>1.0</v>
      </c>
      <c r="O109" s="263"/>
      <c r="P109" s="1109">
        <v>1.0</v>
      </c>
      <c r="R109" s="1110">
        <v>1.0</v>
      </c>
      <c r="S109" s="263"/>
      <c r="T109" s="1109">
        <v>1.0</v>
      </c>
      <c r="W109" s="263"/>
      <c r="X109" s="1111">
        <v>1.0</v>
      </c>
      <c r="Z109" s="1104">
        <f t="shared" si="1"/>
        <v>1</v>
      </c>
      <c r="AB109" s="263"/>
      <c r="AC109" s="1105">
        <f t="shared" si="2"/>
        <v>1</v>
      </c>
      <c r="AF109" s="263"/>
      <c r="AG109" s="1112">
        <v>1.0</v>
      </c>
      <c r="AI109" s="263"/>
      <c r="AJ109" s="1105">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3"/>
      <c r="D110" s="251"/>
      <c r="E110" s="251"/>
      <c r="F110" s="261"/>
      <c r="G110" s="1114">
        <v>0.0</v>
      </c>
      <c r="H110" s="251"/>
      <c r="I110" s="251"/>
      <c r="J110" s="261"/>
      <c r="K110" s="1115"/>
      <c r="L110" s="261"/>
      <c r="M110" s="1116"/>
      <c r="N110" s="251"/>
      <c r="O110" s="261"/>
      <c r="P110" s="1116"/>
      <c r="Q110" s="251"/>
      <c r="R110" s="1115"/>
      <c r="S110" s="261"/>
      <c r="T110" s="1116"/>
      <c r="U110" s="251"/>
      <c r="V110" s="251"/>
      <c r="W110" s="261"/>
      <c r="X110" s="1117"/>
      <c r="Y110" s="251"/>
      <c r="Z110" s="1118"/>
      <c r="AA110" s="251"/>
      <c r="AB110" s="261"/>
      <c r="AC110" s="1119">
        <f t="shared" si="2"/>
        <v>0</v>
      </c>
      <c r="AD110" s="251"/>
      <c r="AE110" s="251"/>
      <c r="AF110" s="261"/>
      <c r="AG110" s="1120">
        <v>1.0</v>
      </c>
      <c r="AH110" s="251"/>
      <c r="AI110" s="261"/>
      <c r="AJ110" s="1105">
        <f t="shared" si="3"/>
        <v>0</v>
      </c>
      <c r="AO110" s="263"/>
      <c r="AP110" s="1121"/>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170</v>
      </c>
      <c r="B111" s="261"/>
      <c r="C111" s="1122">
        <f>SUM(C108:F110)</f>
        <v>0</v>
      </c>
      <c r="D111" s="85"/>
      <c r="E111" s="85"/>
      <c r="F111" s="86"/>
      <c r="G111" s="1123" t="s">
        <v>171</v>
      </c>
      <c r="H111" s="255"/>
      <c r="I111" s="255"/>
      <c r="J111" s="255"/>
      <c r="K111" s="1124"/>
      <c r="L111" s="294"/>
      <c r="M111" s="294"/>
      <c r="N111" s="294"/>
      <c r="O111" s="294"/>
      <c r="P111" s="294"/>
      <c r="Q111" s="294"/>
      <c r="R111" s="294"/>
      <c r="S111" s="294"/>
      <c r="T111" s="294"/>
      <c r="U111" s="294"/>
      <c r="V111" s="294"/>
      <c r="W111" s="294"/>
      <c r="X111" s="294"/>
      <c r="Y111" s="294"/>
      <c r="Z111" s="294"/>
      <c r="AA111" s="294"/>
      <c r="AB111" s="295"/>
      <c r="AC111" s="1125"/>
      <c r="AD111" s="1126"/>
      <c r="AE111" s="1126"/>
      <c r="AF111" s="1126"/>
      <c r="AG111" s="1126"/>
      <c r="AH111" s="1126" t="s">
        <v>172</v>
      </c>
      <c r="AI111" s="298"/>
      <c r="AJ111" s="1127">
        <f>SUM(AJ108:AO110)</f>
        <v>0</v>
      </c>
      <c r="AK111" s="85"/>
      <c r="AL111" s="85"/>
      <c r="AM111" s="85"/>
      <c r="AN111" s="85"/>
      <c r="AO111" s="86"/>
      <c r="AP111" s="1128" t="str">
        <f>AJ111/$AJ$142</f>
        <v>#DIV/0!</v>
      </c>
      <c r="AQ111" s="31"/>
      <c r="AR111" s="300" t="s">
        <v>173</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5"/>
      <c r="L112" s="720"/>
      <c r="M112" s="720"/>
      <c r="N112" s="720"/>
      <c r="O112" s="401"/>
      <c r="P112" s="401"/>
      <c r="Q112" s="401"/>
      <c r="R112" s="401"/>
      <c r="S112" s="494"/>
      <c r="T112" s="494"/>
      <c r="U112" s="494"/>
      <c r="V112" s="494"/>
      <c r="W112" s="494"/>
      <c r="X112" s="494"/>
      <c r="Y112" s="494"/>
      <c r="Z112" s="494"/>
      <c r="AA112" s="494"/>
      <c r="AB112" s="494"/>
      <c r="AC112" s="494"/>
      <c r="AD112" s="1043"/>
      <c r="AE112" s="1043"/>
      <c r="AF112" s="1129"/>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174</v>
      </c>
      <c r="D113" s="308"/>
      <c r="E113" s="309"/>
      <c r="F113" s="309"/>
      <c r="G113" s="309"/>
      <c r="H113" s="309"/>
      <c r="I113" s="310"/>
      <c r="J113" s="310"/>
      <c r="K113" s="309"/>
      <c r="L113" s="309"/>
      <c r="M113" s="309"/>
      <c r="N113" s="309"/>
      <c r="O113" s="92"/>
      <c r="P113" s="407" t="s">
        <v>175</v>
      </c>
      <c r="Q113" s="255"/>
      <c r="R113" s="255"/>
      <c r="S113" s="253"/>
      <c r="T113" s="312" t="s">
        <v>176</v>
      </c>
      <c r="U113" s="85"/>
      <c r="V113" s="85"/>
      <c r="W113" s="85"/>
      <c r="X113" s="85"/>
      <c r="Y113" s="85"/>
      <c r="Z113" s="85"/>
      <c r="AA113" s="85"/>
      <c r="AB113" s="86"/>
      <c r="AC113" s="254" t="s">
        <v>177</v>
      </c>
      <c r="AD113" s="255"/>
      <c r="AE113" s="255"/>
      <c r="AF113" s="253"/>
      <c r="AG113" s="254" t="s">
        <v>160</v>
      </c>
      <c r="AH113" s="255"/>
      <c r="AI113" s="253"/>
      <c r="AJ113" s="254" t="s">
        <v>161</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178</v>
      </c>
      <c r="B114" s="253"/>
      <c r="C114" s="312" t="s">
        <v>179</v>
      </c>
      <c r="D114" s="85"/>
      <c r="E114" s="85"/>
      <c r="F114" s="85"/>
      <c r="G114" s="85"/>
      <c r="H114" s="85"/>
      <c r="I114" s="85"/>
      <c r="J114" s="86"/>
      <c r="K114" s="312" t="s">
        <v>156</v>
      </c>
      <c r="L114" s="85"/>
      <c r="M114" s="85"/>
      <c r="N114" s="85"/>
      <c r="O114" s="86"/>
      <c r="P114" s="282"/>
      <c r="Q114" s="251"/>
      <c r="R114" s="251"/>
      <c r="S114" s="261"/>
      <c r="T114" s="282" t="s">
        <v>181</v>
      </c>
      <c r="U114" s="251"/>
      <c r="V114" s="251"/>
      <c r="W114" s="261"/>
      <c r="X114" s="275" t="s">
        <v>182</v>
      </c>
      <c r="Y114" s="263"/>
      <c r="Z114" s="282" t="s">
        <v>129</v>
      </c>
      <c r="AA114" s="251"/>
      <c r="AB114" s="261"/>
      <c r="AC114" s="262" t="s">
        <v>183</v>
      </c>
      <c r="AF114" s="263"/>
      <c r="AG114" s="265"/>
      <c r="AH114" s="251"/>
      <c r="AI114" s="261"/>
      <c r="AJ114" s="262" t="s">
        <v>169</v>
      </c>
      <c r="AO114" s="263"/>
      <c r="AP114" s="31"/>
      <c r="AQ114" s="31"/>
      <c r="AR114" s="324">
        <f>+F87</f>
        <v>60</v>
      </c>
      <c r="AS114" s="325" t="s">
        <v>129</v>
      </c>
      <c r="AT114" s="325" t="s">
        <v>184</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185</v>
      </c>
      <c r="B115" s="263"/>
      <c r="C115" s="1130"/>
      <c r="D115" s="255"/>
      <c r="E115" s="255"/>
      <c r="F115" s="255"/>
      <c r="G115" s="255"/>
      <c r="H115" s="255"/>
      <c r="I115" s="255"/>
      <c r="J115" s="253"/>
      <c r="K115" s="1131"/>
      <c r="L115" s="255"/>
      <c r="M115" s="255"/>
      <c r="N115" s="255"/>
      <c r="O115" s="253"/>
      <c r="P115" s="1132">
        <v>18000.0</v>
      </c>
      <c r="S115" s="263"/>
      <c r="T115" s="1133">
        <v>0.85</v>
      </c>
      <c r="U115" s="255"/>
      <c r="V115" s="255"/>
      <c r="W115" s="253"/>
      <c r="X115" s="1134">
        <v>1.0</v>
      </c>
      <c r="Y115" s="253"/>
      <c r="Z115" s="1135" t="str">
        <f t="shared" ref="Z115:Z117" si="4">IF(AU115&lt;0.2,"0.20",AU115)</f>
        <v>0.20</v>
      </c>
      <c r="AA115" s="255"/>
      <c r="AB115" s="253"/>
      <c r="AC115" s="1136">
        <f t="shared" ref="AC115:AC122" si="5">Z115*X115*T115*P115</f>
        <v>3060</v>
      </c>
      <c r="AD115" s="255"/>
      <c r="AE115" s="255"/>
      <c r="AF115" s="253"/>
      <c r="AG115" s="1137">
        <f>AG108</f>
        <v>1</v>
      </c>
      <c r="AH115" s="255"/>
      <c r="AI115" s="253"/>
      <c r="AJ115" s="1138">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186</v>
      </c>
      <c r="B116" s="263"/>
      <c r="C116" s="1139"/>
      <c r="J116" s="263"/>
      <c r="K116" s="1140"/>
      <c r="O116" s="263"/>
      <c r="P116" s="1132">
        <v>1.0</v>
      </c>
      <c r="S116" s="263"/>
      <c r="T116" s="1141">
        <v>0.85</v>
      </c>
      <c r="W116" s="263"/>
      <c r="X116" s="1141">
        <v>1.0</v>
      </c>
      <c r="Y116" s="263"/>
      <c r="Z116" s="1142" t="str">
        <f t="shared" si="4"/>
        <v>0.20</v>
      </c>
      <c r="AB116" s="263"/>
      <c r="AC116" s="1143">
        <f t="shared" si="5"/>
        <v>0.17</v>
      </c>
      <c r="AF116" s="263"/>
      <c r="AG116" s="1144">
        <v>1.0</v>
      </c>
      <c r="AI116" s="263"/>
      <c r="AJ116" s="1145">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187</v>
      </c>
      <c r="B117" s="263"/>
      <c r="C117" s="1146"/>
      <c r="J117" s="263"/>
      <c r="K117" s="1147"/>
      <c r="O117" s="263"/>
      <c r="P117" s="1132">
        <v>1.0</v>
      </c>
      <c r="S117" s="263"/>
      <c r="T117" s="1141">
        <v>1.0</v>
      </c>
      <c r="W117" s="263"/>
      <c r="X117" s="1141">
        <v>1.0</v>
      </c>
      <c r="Y117" s="263"/>
      <c r="Z117" s="1142" t="str">
        <f t="shared" si="4"/>
        <v>0.20</v>
      </c>
      <c r="AB117" s="263"/>
      <c r="AC117" s="1143">
        <f t="shared" si="5"/>
        <v>0.2</v>
      </c>
      <c r="AF117" s="263"/>
      <c r="AG117" s="1144">
        <v>1.0</v>
      </c>
      <c r="AI117" s="263"/>
      <c r="AJ117" s="1145">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188</v>
      </c>
      <c r="B118" s="263"/>
      <c r="C118" s="1146"/>
      <c r="J118" s="263"/>
      <c r="K118" s="1147">
        <v>0.0</v>
      </c>
      <c r="O118" s="263"/>
      <c r="P118" s="1148">
        <v>0.0</v>
      </c>
      <c r="S118" s="263"/>
      <c r="T118" s="1141">
        <v>1.0</v>
      </c>
      <c r="W118" s="263"/>
      <c r="X118" s="1141">
        <v>1.0</v>
      </c>
      <c r="Y118" s="263"/>
      <c r="Z118" s="1142" t="str">
        <f t="shared" ref="Z118:Z122" si="11">IF(AU118&lt;0.6,"0.60",AU118)</f>
        <v>0.60</v>
      </c>
      <c r="AB118" s="263"/>
      <c r="AC118" s="1143">
        <f t="shared" si="5"/>
        <v>0</v>
      </c>
      <c r="AF118" s="263"/>
      <c r="AG118" s="1144">
        <v>1.0</v>
      </c>
      <c r="AI118" s="263"/>
      <c r="AJ118" s="1149">
        <f t="shared" si="6"/>
        <v>0</v>
      </c>
      <c r="AO118" s="263"/>
      <c r="AP118" s="1150"/>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189</v>
      </c>
      <c r="B119" s="365"/>
      <c r="C119" s="1151"/>
      <c r="J119" s="62"/>
      <c r="K119" s="1147">
        <v>0.0</v>
      </c>
      <c r="O119" s="263"/>
      <c r="P119" s="1132">
        <v>0.0</v>
      </c>
      <c r="S119" s="263"/>
      <c r="T119" s="1142">
        <v>1.0</v>
      </c>
      <c r="W119" s="263"/>
      <c r="X119" s="1142">
        <v>1.0</v>
      </c>
      <c r="Y119" s="263"/>
      <c r="Z119" s="1142" t="str">
        <f t="shared" si="11"/>
        <v>0.60</v>
      </c>
      <c r="AB119" s="263"/>
      <c r="AC119" s="1152">
        <f t="shared" si="5"/>
        <v>0</v>
      </c>
      <c r="AF119" s="263"/>
      <c r="AG119" s="1153">
        <v>1.0</v>
      </c>
      <c r="AI119" s="263"/>
      <c r="AJ119" s="1145">
        <f t="shared" si="6"/>
        <v>0</v>
      </c>
      <c r="AO119" s="263"/>
      <c r="AP119" s="1150"/>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190</v>
      </c>
      <c r="B120" s="365"/>
      <c r="C120" s="1151"/>
      <c r="J120" s="62"/>
      <c r="K120" s="1147">
        <v>0.0</v>
      </c>
      <c r="O120" s="263"/>
      <c r="P120" s="1132">
        <v>0.0</v>
      </c>
      <c r="S120" s="263"/>
      <c r="T120" s="1142">
        <v>1.0</v>
      </c>
      <c r="W120" s="263"/>
      <c r="X120" s="1142">
        <v>1.0</v>
      </c>
      <c r="Y120" s="263"/>
      <c r="Z120" s="1142" t="str">
        <f t="shared" si="11"/>
        <v>0.60</v>
      </c>
      <c r="AB120" s="263"/>
      <c r="AC120" s="1152">
        <f t="shared" si="5"/>
        <v>0</v>
      </c>
      <c r="AF120" s="263"/>
      <c r="AG120" s="1153">
        <v>1.0</v>
      </c>
      <c r="AI120" s="263"/>
      <c r="AJ120" s="1145">
        <f t="shared" si="6"/>
        <v>0</v>
      </c>
      <c r="AO120" s="263"/>
      <c r="AP120" s="1150"/>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191</v>
      </c>
      <c r="B121" s="263"/>
      <c r="C121" s="1151"/>
      <c r="J121" s="62"/>
      <c r="K121" s="1147">
        <v>0.0</v>
      </c>
      <c r="O121" s="263"/>
      <c r="P121" s="1132">
        <v>0.0</v>
      </c>
      <c r="S121" s="263"/>
      <c r="T121" s="1142">
        <v>1.0</v>
      </c>
      <c r="W121" s="263"/>
      <c r="X121" s="1142">
        <v>1.0</v>
      </c>
      <c r="Y121" s="263"/>
      <c r="Z121" s="1142" t="str">
        <f t="shared" si="11"/>
        <v>0.60</v>
      </c>
      <c r="AB121" s="263"/>
      <c r="AC121" s="1152">
        <f t="shared" si="5"/>
        <v>0</v>
      </c>
      <c r="AF121" s="263"/>
      <c r="AG121" s="1153">
        <v>1.0</v>
      </c>
      <c r="AI121" s="263"/>
      <c r="AJ121" s="1145">
        <f t="shared" si="6"/>
        <v>0</v>
      </c>
      <c r="AO121" s="263"/>
      <c r="AP121" s="1150"/>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192</v>
      </c>
      <c r="B122" s="371"/>
      <c r="C122" s="1154"/>
      <c r="D122" s="251"/>
      <c r="E122" s="251"/>
      <c r="F122" s="251"/>
      <c r="G122" s="251"/>
      <c r="H122" s="251"/>
      <c r="I122" s="251"/>
      <c r="J122" s="1155"/>
      <c r="K122" s="1156">
        <v>0.0</v>
      </c>
      <c r="L122" s="251"/>
      <c r="M122" s="251"/>
      <c r="N122" s="251"/>
      <c r="O122" s="261"/>
      <c r="P122" s="1157">
        <v>0.0</v>
      </c>
      <c r="Q122" s="251"/>
      <c r="R122" s="251"/>
      <c r="S122" s="261"/>
      <c r="T122" s="1158">
        <v>1.0</v>
      </c>
      <c r="U122" s="251"/>
      <c r="V122" s="251"/>
      <c r="W122" s="261"/>
      <c r="X122" s="1158">
        <v>1.0</v>
      </c>
      <c r="Y122" s="261"/>
      <c r="Z122" s="1158" t="str">
        <f t="shared" si="11"/>
        <v>0.60</v>
      </c>
      <c r="AA122" s="251"/>
      <c r="AB122" s="261"/>
      <c r="AC122" s="1159">
        <f t="shared" si="5"/>
        <v>0</v>
      </c>
      <c r="AD122" s="251"/>
      <c r="AE122" s="251"/>
      <c r="AF122" s="261"/>
      <c r="AG122" s="1153">
        <v>1.0</v>
      </c>
      <c r="AI122" s="263"/>
      <c r="AJ122" s="1145">
        <f t="shared" si="6"/>
        <v>0</v>
      </c>
      <c r="AO122" s="263"/>
      <c r="AP122" s="1150"/>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60" t="s">
        <v>193</v>
      </c>
      <c r="D123" s="85"/>
      <c r="E123" s="85"/>
      <c r="F123" s="85"/>
      <c r="G123" s="85"/>
      <c r="H123" s="85"/>
      <c r="I123" s="85"/>
      <c r="J123" s="1161"/>
      <c r="K123" s="1162">
        <f>SUM(K115:K122)</f>
        <v>0</v>
      </c>
      <c r="L123" s="85"/>
      <c r="M123" s="85"/>
      <c r="N123" s="85"/>
      <c r="O123" s="86"/>
      <c r="P123" s="442"/>
      <c r="Q123" s="386"/>
      <c r="R123" s="386"/>
      <c r="S123" s="386"/>
      <c r="T123" s="386"/>
      <c r="U123" s="386"/>
      <c r="V123" s="386"/>
      <c r="W123" s="386"/>
      <c r="X123" s="386"/>
      <c r="Y123" s="386"/>
      <c r="Z123" s="1161"/>
      <c r="AA123" s="1161"/>
      <c r="AB123" s="1161"/>
      <c r="AC123" s="386"/>
      <c r="AD123" s="386"/>
      <c r="AE123" s="386"/>
      <c r="AF123" s="1163"/>
      <c r="AG123" s="1163"/>
      <c r="AH123" s="1164" t="s">
        <v>194</v>
      </c>
      <c r="AI123" s="389"/>
      <c r="AJ123" s="1165">
        <f>SUM(AJ115:AJ122)</f>
        <v>0</v>
      </c>
      <c r="AK123" s="85"/>
      <c r="AL123" s="85"/>
      <c r="AM123" s="85"/>
      <c r="AN123" s="85"/>
      <c r="AO123" s="86"/>
      <c r="AP123" s="1128"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173</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195</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196</v>
      </c>
      <c r="B126" s="255"/>
      <c r="C126" s="255"/>
      <c r="D126" s="255"/>
      <c r="E126" s="255"/>
      <c r="F126" s="255"/>
      <c r="G126" s="255"/>
      <c r="H126" s="255"/>
      <c r="I126" s="253"/>
      <c r="J126" s="407" t="s">
        <v>197</v>
      </c>
      <c r="K126" s="255"/>
      <c r="L126" s="253"/>
      <c r="M126" s="407" t="s">
        <v>198</v>
      </c>
      <c r="N126" s="255"/>
      <c r="O126" s="253"/>
      <c r="P126" s="266" t="s">
        <v>161</v>
      </c>
      <c r="Q126" s="255"/>
      <c r="R126" s="255"/>
      <c r="S126" s="253"/>
      <c r="T126" s="266" t="s">
        <v>176</v>
      </c>
      <c r="U126" s="255"/>
      <c r="V126" s="255"/>
      <c r="W126" s="255"/>
      <c r="X126" s="255"/>
      <c r="Y126" s="255"/>
      <c r="Z126" s="255"/>
      <c r="AA126" s="255"/>
      <c r="AB126" s="253"/>
      <c r="AC126" s="258" t="s">
        <v>177</v>
      </c>
      <c r="AD126" s="255"/>
      <c r="AE126" s="255"/>
      <c r="AF126" s="253"/>
      <c r="AG126" s="258" t="s">
        <v>160</v>
      </c>
      <c r="AH126" s="255"/>
      <c r="AI126" s="253"/>
      <c r="AJ126" s="258" t="s">
        <v>161</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199</v>
      </c>
      <c r="Q127" s="251"/>
      <c r="R127" s="251"/>
      <c r="S127" s="261"/>
      <c r="T127" s="312" t="s">
        <v>135</v>
      </c>
      <c r="U127" s="85"/>
      <c r="V127" s="85"/>
      <c r="W127" s="85"/>
      <c r="X127" s="86"/>
      <c r="Y127" s="408" t="s">
        <v>129</v>
      </c>
      <c r="Z127" s="85"/>
      <c r="AA127" s="85"/>
      <c r="AB127" s="86"/>
      <c r="AC127" s="265" t="s">
        <v>183</v>
      </c>
      <c r="AD127" s="251"/>
      <c r="AE127" s="251"/>
      <c r="AF127" s="261"/>
      <c r="AG127" s="265"/>
      <c r="AH127" s="251"/>
      <c r="AI127" s="261"/>
      <c r="AJ127" s="265" t="s">
        <v>169</v>
      </c>
      <c r="AK127" s="251"/>
      <c r="AL127" s="251"/>
      <c r="AM127" s="251"/>
      <c r="AN127" s="251"/>
      <c r="AO127" s="261"/>
      <c r="AP127" s="31"/>
      <c r="AQ127" s="31"/>
      <c r="AR127" s="409" t="s">
        <v>200</v>
      </c>
      <c r="AS127" s="410" t="s">
        <v>129</v>
      </c>
      <c r="AT127" s="410" t="s">
        <v>184</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185</v>
      </c>
      <c r="C128" s="1166"/>
      <c r="I128" s="263"/>
      <c r="J128" s="1167"/>
      <c r="L128" s="263"/>
      <c r="M128" s="1168"/>
      <c r="O128" s="263"/>
      <c r="P128" s="1169"/>
      <c r="S128" s="263"/>
      <c r="T128" s="345">
        <v>0.95</v>
      </c>
      <c r="X128" s="263"/>
      <c r="Y128" s="346">
        <f t="shared" ref="Y128:Y131" si="16">+AU128</f>
        <v>0.73</v>
      </c>
      <c r="AB128" s="263"/>
      <c r="AC128" s="1170">
        <f t="shared" ref="AC128:AC139" si="17">P128*T128*Y128</f>
        <v>0</v>
      </c>
      <c r="AF128" s="263"/>
      <c r="AG128" s="1171">
        <v>1.0</v>
      </c>
      <c r="AI128" s="263"/>
      <c r="AJ128" s="1170">
        <f t="shared" ref="AJ128:AJ139" si="18">J128*AC128*AG128</f>
        <v>0</v>
      </c>
      <c r="AO128" s="263"/>
      <c r="AP128" s="31"/>
      <c r="AQ128" s="31"/>
      <c r="AR128" s="417">
        <v>50.0</v>
      </c>
      <c r="AS128" s="1172">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186</v>
      </c>
      <c r="C129" s="1173"/>
      <c r="I129" s="263"/>
      <c r="J129" s="1174"/>
      <c r="L129" s="263"/>
      <c r="M129" s="1175"/>
      <c r="O129" s="263"/>
      <c r="P129" s="1170"/>
      <c r="S129" s="263"/>
      <c r="T129" s="345">
        <v>1.0</v>
      </c>
      <c r="X129" s="263"/>
      <c r="Y129" s="346">
        <f t="shared" si="16"/>
        <v>0.76</v>
      </c>
      <c r="AB129" s="263"/>
      <c r="AC129" s="1170">
        <f t="shared" si="17"/>
        <v>0</v>
      </c>
      <c r="AF129" s="263"/>
      <c r="AG129" s="1171">
        <v>1.0</v>
      </c>
      <c r="AI129" s="263"/>
      <c r="AJ129" s="1170">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187</v>
      </c>
      <c r="C130" s="1173"/>
      <c r="I130" s="263"/>
      <c r="J130" s="1174"/>
      <c r="L130" s="263"/>
      <c r="M130" s="1175"/>
      <c r="O130" s="263"/>
      <c r="P130" s="1170"/>
      <c r="S130" s="263"/>
      <c r="T130" s="346">
        <v>1.0</v>
      </c>
      <c r="X130" s="263"/>
      <c r="Y130" s="346">
        <f t="shared" si="16"/>
        <v>0.76</v>
      </c>
      <c r="AB130" s="263"/>
      <c r="AC130" s="1170">
        <f t="shared" si="17"/>
        <v>0</v>
      </c>
      <c r="AF130" s="263"/>
      <c r="AG130" s="1176">
        <v>1.0</v>
      </c>
      <c r="AI130" s="263"/>
      <c r="AJ130" s="1170">
        <f t="shared" si="18"/>
        <v>0</v>
      </c>
      <c r="AO130" s="263"/>
      <c r="AP130" s="1177"/>
      <c r="AQ130" s="31"/>
      <c r="AR130" s="1178">
        <v>45.0</v>
      </c>
      <c r="AS130" s="1179">
        <f t="shared" ref="AS130:AS139" si="21">+AS129</f>
        <v>12</v>
      </c>
      <c r="AT130" s="1180">
        <f t="shared" si="19"/>
        <v>33</v>
      </c>
      <c r="AU130" s="1181">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188</v>
      </c>
      <c r="C131" s="1173"/>
      <c r="I131" s="263"/>
      <c r="J131" s="1174"/>
      <c r="L131" s="263"/>
      <c r="M131" s="1175"/>
      <c r="O131" s="263"/>
      <c r="P131" s="1170"/>
      <c r="S131" s="263"/>
      <c r="T131" s="346">
        <v>1.0</v>
      </c>
      <c r="X131" s="263"/>
      <c r="Y131" s="346">
        <f t="shared" si="16"/>
        <v>0.85</v>
      </c>
      <c r="AB131" s="263"/>
      <c r="AC131" s="1170">
        <f t="shared" si="17"/>
        <v>0</v>
      </c>
      <c r="AF131" s="263"/>
      <c r="AG131" s="1176">
        <v>1.0</v>
      </c>
      <c r="AI131" s="263"/>
      <c r="AJ131" s="1170">
        <f t="shared" si="18"/>
        <v>0</v>
      </c>
      <c r="AO131" s="263"/>
      <c r="AP131" s="1177"/>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189</v>
      </c>
      <c r="C132" s="1173"/>
      <c r="I132" s="263"/>
      <c r="J132" s="1174"/>
      <c r="L132" s="263"/>
      <c r="M132" s="1175"/>
      <c r="O132" s="263"/>
      <c r="P132" s="1170"/>
      <c r="S132" s="263"/>
      <c r="T132" s="346">
        <v>1.0</v>
      </c>
      <c r="X132" s="263"/>
      <c r="Y132" s="346">
        <v>1.0</v>
      </c>
      <c r="AB132" s="263"/>
      <c r="AC132" s="1170">
        <f t="shared" si="17"/>
        <v>0</v>
      </c>
      <c r="AF132" s="263"/>
      <c r="AG132" s="1176">
        <v>1.0</v>
      </c>
      <c r="AI132" s="263"/>
      <c r="AJ132" s="1170">
        <f t="shared" si="18"/>
        <v>0</v>
      </c>
      <c r="AO132" s="263"/>
      <c r="AP132" s="1177"/>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189</v>
      </c>
      <c r="C133" s="1173"/>
      <c r="I133" s="263"/>
      <c r="J133" s="1174"/>
      <c r="L133" s="263"/>
      <c r="M133" s="1175"/>
      <c r="O133" s="263"/>
      <c r="P133" s="1170"/>
      <c r="S133" s="263"/>
      <c r="T133" s="346">
        <v>1.0</v>
      </c>
      <c r="X133" s="263"/>
      <c r="Y133" s="346">
        <f t="shared" ref="Y133:Y139" si="22">+AU133</f>
        <v>0.85</v>
      </c>
      <c r="AB133" s="263"/>
      <c r="AC133" s="1170">
        <f t="shared" si="17"/>
        <v>0</v>
      </c>
      <c r="AF133" s="263"/>
      <c r="AG133" s="1171">
        <v>1.0</v>
      </c>
      <c r="AI133" s="263"/>
      <c r="AJ133" s="1170">
        <f t="shared" si="18"/>
        <v>0</v>
      </c>
      <c r="AO133" s="263"/>
      <c r="AP133" s="1177"/>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189</v>
      </c>
      <c r="C134" s="1173"/>
      <c r="I134" s="263"/>
      <c r="J134" s="1174"/>
      <c r="L134" s="263"/>
      <c r="M134" s="1175"/>
      <c r="O134" s="263"/>
      <c r="P134" s="1170"/>
      <c r="S134" s="263"/>
      <c r="T134" s="346">
        <v>1.0</v>
      </c>
      <c r="X134" s="263"/>
      <c r="Y134" s="346">
        <f t="shared" si="22"/>
        <v>0.85</v>
      </c>
      <c r="AB134" s="263"/>
      <c r="AC134" s="1170">
        <f t="shared" si="17"/>
        <v>0</v>
      </c>
      <c r="AF134" s="263"/>
      <c r="AG134" s="1171">
        <v>1.0</v>
      </c>
      <c r="AI134" s="263"/>
      <c r="AJ134" s="1170">
        <f t="shared" si="18"/>
        <v>0</v>
      </c>
      <c r="AO134" s="263"/>
      <c r="AP134" s="1177"/>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189</v>
      </c>
      <c r="C135" s="1173"/>
      <c r="I135" s="263"/>
      <c r="J135" s="1174"/>
      <c r="L135" s="263"/>
      <c r="M135" s="1175"/>
      <c r="O135" s="263"/>
      <c r="P135" s="1182"/>
      <c r="S135" s="263"/>
      <c r="T135" s="346">
        <v>1.0</v>
      </c>
      <c r="X135" s="263"/>
      <c r="Y135" s="346">
        <f t="shared" si="22"/>
        <v>0.85</v>
      </c>
      <c r="AB135" s="263"/>
      <c r="AC135" s="1170">
        <f t="shared" si="17"/>
        <v>0</v>
      </c>
      <c r="AF135" s="263"/>
      <c r="AG135" s="1171">
        <v>1.0</v>
      </c>
      <c r="AI135" s="263"/>
      <c r="AJ135" s="1170">
        <f t="shared" si="18"/>
        <v>0</v>
      </c>
      <c r="AO135" s="263"/>
      <c r="AP135" s="1183"/>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189</v>
      </c>
      <c r="C136" s="1184"/>
      <c r="D136" s="1185"/>
      <c r="E136" s="1185"/>
      <c r="F136" s="1185"/>
      <c r="G136" s="1185"/>
      <c r="H136" s="1185"/>
      <c r="I136" s="1186"/>
      <c r="J136" s="1174"/>
      <c r="L136" s="263"/>
      <c r="M136" s="1175"/>
      <c r="O136" s="263"/>
      <c r="P136" s="1170"/>
      <c r="S136" s="263"/>
      <c r="T136" s="346">
        <v>1.0</v>
      </c>
      <c r="X136" s="263"/>
      <c r="Y136" s="346">
        <f t="shared" si="22"/>
        <v>0.86</v>
      </c>
      <c r="AB136" s="263"/>
      <c r="AC136" s="1170">
        <f t="shared" si="17"/>
        <v>0</v>
      </c>
      <c r="AF136" s="263"/>
      <c r="AG136" s="1171">
        <v>1.0</v>
      </c>
      <c r="AI136" s="263"/>
      <c r="AJ136" s="1170">
        <f t="shared" si="18"/>
        <v>0</v>
      </c>
      <c r="AO136" s="263"/>
      <c r="AP136" s="1187"/>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189</v>
      </c>
      <c r="C137" s="1184"/>
      <c r="D137" s="1185"/>
      <c r="E137" s="1185"/>
      <c r="F137" s="1185"/>
      <c r="G137" s="1185"/>
      <c r="H137" s="1185"/>
      <c r="I137" s="1186"/>
      <c r="J137" s="1174"/>
      <c r="L137" s="263"/>
      <c r="M137" s="1175"/>
      <c r="O137" s="263"/>
      <c r="P137" s="1182"/>
      <c r="S137" s="263"/>
      <c r="T137" s="346">
        <v>1.0</v>
      </c>
      <c r="X137" s="263"/>
      <c r="Y137" s="346">
        <f t="shared" si="22"/>
        <v>0.86</v>
      </c>
      <c r="AB137" s="263"/>
      <c r="AC137" s="1170">
        <f t="shared" si="17"/>
        <v>0</v>
      </c>
      <c r="AF137" s="263"/>
      <c r="AG137" s="1171">
        <v>1.0</v>
      </c>
      <c r="AI137" s="263"/>
      <c r="AJ137" s="1170">
        <f t="shared" si="18"/>
        <v>0</v>
      </c>
      <c r="AO137" s="263"/>
      <c r="AP137" s="1187"/>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189</v>
      </c>
      <c r="C138" s="1184"/>
      <c r="D138" s="1185"/>
      <c r="E138" s="1185"/>
      <c r="F138" s="1185"/>
      <c r="G138" s="1185"/>
      <c r="H138" s="1185"/>
      <c r="I138" s="1186"/>
      <c r="J138" s="1174"/>
      <c r="L138" s="263"/>
      <c r="M138" s="1175"/>
      <c r="O138" s="263"/>
      <c r="P138" s="1182"/>
      <c r="S138" s="263"/>
      <c r="T138" s="346">
        <v>1.0</v>
      </c>
      <c r="X138" s="263"/>
      <c r="Y138" s="346">
        <f t="shared" si="22"/>
        <v>0.86</v>
      </c>
      <c r="AB138" s="263"/>
      <c r="AC138" s="1170">
        <f t="shared" si="17"/>
        <v>0</v>
      </c>
      <c r="AF138" s="263"/>
      <c r="AG138" s="1171">
        <v>1.0</v>
      </c>
      <c r="AI138" s="263"/>
      <c r="AJ138" s="1170">
        <f t="shared" si="18"/>
        <v>0</v>
      </c>
      <c r="AO138" s="263"/>
      <c r="AP138" s="1150"/>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189</v>
      </c>
      <c r="C139" s="1188"/>
      <c r="D139" s="1185"/>
      <c r="E139" s="1185"/>
      <c r="F139" s="1185"/>
      <c r="G139" s="1185"/>
      <c r="H139" s="1185"/>
      <c r="I139" s="1186"/>
      <c r="J139" s="1174"/>
      <c r="L139" s="263"/>
      <c r="M139" s="1175"/>
      <c r="O139" s="263"/>
      <c r="P139" s="1182"/>
      <c r="S139" s="263"/>
      <c r="T139" s="346">
        <v>1.0</v>
      </c>
      <c r="X139" s="263"/>
      <c r="Y139" s="346">
        <f t="shared" si="22"/>
        <v>0.86</v>
      </c>
      <c r="AB139" s="263"/>
      <c r="AC139" s="1170">
        <f t="shared" si="17"/>
        <v>0</v>
      </c>
      <c r="AF139" s="263"/>
      <c r="AG139" s="1171">
        <v>1.0</v>
      </c>
      <c r="AI139" s="263"/>
      <c r="AJ139" s="1170">
        <f t="shared" si="18"/>
        <v>0</v>
      </c>
      <c r="AO139" s="263"/>
      <c r="AP139" s="1150"/>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9"/>
      <c r="D140" s="1189"/>
      <c r="E140" s="707"/>
      <c r="F140" s="707"/>
      <c r="G140" s="707"/>
      <c r="H140" s="707"/>
      <c r="I140" s="707"/>
      <c r="J140" s="707"/>
      <c r="K140" s="707"/>
      <c r="L140" s="707"/>
      <c r="M140" s="707"/>
      <c r="N140" s="1190"/>
      <c r="O140" s="1190"/>
      <c r="P140" s="707"/>
      <c r="Q140" s="707"/>
      <c r="R140" s="707"/>
      <c r="S140" s="707"/>
      <c r="T140" s="707"/>
      <c r="U140" s="707"/>
      <c r="V140" s="707"/>
      <c r="W140" s="707"/>
      <c r="X140" s="707"/>
      <c r="Y140" s="707"/>
      <c r="Z140" s="707"/>
      <c r="AA140" s="707"/>
      <c r="AB140" s="707"/>
      <c r="AC140" s="1191"/>
      <c r="AD140" s="1191"/>
      <c r="AE140" s="1191"/>
      <c r="AF140" s="1191"/>
      <c r="AG140" s="1191"/>
      <c r="AH140" s="1192"/>
      <c r="AI140" s="1192" t="s">
        <v>201</v>
      </c>
      <c r="AJ140" s="1193">
        <f>SUM(AJ128:AO139)</f>
        <v>0</v>
      </c>
      <c r="AK140" s="85"/>
      <c r="AL140" s="85"/>
      <c r="AM140" s="85"/>
      <c r="AN140" s="85"/>
      <c r="AO140" s="86"/>
      <c r="AP140" s="1128"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202</v>
      </c>
      <c r="B142" s="440"/>
      <c r="C142" s="440"/>
      <c r="D142" s="440"/>
      <c r="E142" s="440"/>
      <c r="F142" s="440"/>
      <c r="G142" s="440"/>
      <c r="H142" s="440"/>
      <c r="I142" s="440"/>
      <c r="J142" s="440"/>
      <c r="K142" s="34"/>
      <c r="L142" s="1194"/>
      <c r="Y142" s="304"/>
      <c r="Z142" s="304"/>
      <c r="AA142" s="1046" t="s">
        <v>203</v>
      </c>
      <c r="AJ142" s="1195">
        <f>SUM(AJ111,AJ123,AJ140)</f>
        <v>0</v>
      </c>
      <c r="AK142" s="85"/>
      <c r="AL142" s="85"/>
      <c r="AM142" s="85"/>
      <c r="AN142" s="85"/>
      <c r="AO142" s="86"/>
      <c r="AP142" s="31"/>
      <c r="AQ142" s="31"/>
      <c r="AR142" s="444" t="str">
        <f>AJ145/K123</f>
        <v>#DIV/0!</v>
      </c>
      <c r="AS142" s="445" t="s">
        <v>204</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205</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206</v>
      </c>
      <c r="G144" s="1194"/>
      <c r="P144" s="263"/>
      <c r="Q144" s="451" t="s">
        <v>207</v>
      </c>
      <c r="R144" s="452"/>
      <c r="S144" s="452"/>
      <c r="T144" s="452"/>
      <c r="U144" s="452"/>
      <c r="V144" s="452"/>
      <c r="W144" s="453"/>
      <c r="X144" s="453"/>
      <c r="Y144" s="396"/>
      <c r="Z144" s="396"/>
      <c r="AA144" s="396"/>
      <c r="AB144" s="396"/>
      <c r="AC144" s="396"/>
      <c r="AD144" s="396"/>
      <c r="AE144" s="396"/>
      <c r="AF144" s="454"/>
      <c r="AG144" s="396"/>
      <c r="AH144" s="455"/>
      <c r="AI144" s="1196" t="s">
        <v>208</v>
      </c>
      <c r="AJ144" s="1197" t="str">
        <f>AJ200</f>
        <v>#DIV/0!</v>
      </c>
      <c r="AK144" s="294"/>
      <c r="AL144" s="294"/>
      <c r="AM144" s="294"/>
      <c r="AN144" s="294"/>
      <c r="AO144" s="458"/>
      <c r="AP144" s="31"/>
      <c r="AQ144" s="31"/>
      <c r="AR144" s="459" t="str">
        <f>+(AJ144-AJ145)/AJ144</f>
        <v>#DIV/0!</v>
      </c>
      <c r="AS144" s="460" t="s">
        <v>209</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210</v>
      </c>
      <c r="G145" s="1194"/>
      <c r="P145" s="263"/>
      <c r="Q145" s="463"/>
      <c r="R145" s="464"/>
      <c r="S145" s="464"/>
      <c r="T145" s="464"/>
      <c r="U145" s="464"/>
      <c r="V145" s="464"/>
      <c r="W145" s="464"/>
      <c r="X145" s="464"/>
      <c r="Y145" s="34"/>
      <c r="Z145" s="34"/>
      <c r="AA145" s="34"/>
      <c r="AB145" s="34"/>
      <c r="AC145" s="34"/>
      <c r="AD145" s="34"/>
      <c r="AE145" s="34"/>
      <c r="AF145" s="305"/>
      <c r="AG145" s="34"/>
      <c r="AH145" s="34"/>
      <c r="AI145" s="1198" t="s">
        <v>211</v>
      </c>
      <c r="AJ145" s="1199">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200" t="s">
        <v>212</v>
      </c>
      <c r="AJ146" s="1201" t="str">
        <f>AJ258</f>
        <v>#DIV/0!</v>
      </c>
      <c r="AK146" s="473"/>
      <c r="AL146" s="473"/>
      <c r="AM146" s="473"/>
      <c r="AN146" s="473"/>
      <c r="AO146" s="474"/>
      <c r="AP146" s="31"/>
      <c r="AQ146" s="31"/>
      <c r="AR146" s="475" t="str">
        <f>AI148/K123</f>
        <v>#DIV/0!</v>
      </c>
      <c r="AS146" s="476" t="s">
        <v>213</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202" t="s">
        <v>214</v>
      </c>
      <c r="Q148" s="470"/>
      <c r="R148" s="479"/>
      <c r="T148" s="464"/>
      <c r="U148" s="464"/>
      <c r="V148" s="464"/>
      <c r="W148" s="464"/>
      <c r="X148" s="34"/>
      <c r="Y148" s="34"/>
      <c r="Z148" s="34"/>
      <c r="AA148" s="34"/>
      <c r="AB148" s="34"/>
      <c r="AC148" s="34"/>
      <c r="AD148" s="34"/>
      <c r="AE148" s="34"/>
      <c r="AF148" s="305"/>
      <c r="AG148" s="34"/>
      <c r="AH148" s="480" t="s">
        <v>215</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216</v>
      </c>
      <c r="AI149" s="481" t="str">
        <f>AJ144*AR149</f>
        <v>#DIV/0!</v>
      </c>
      <c r="AJ149" s="482"/>
      <c r="AK149" s="482"/>
      <c r="AL149" s="482"/>
      <c r="AM149" s="482"/>
      <c r="AN149" s="482"/>
      <c r="AO149" s="483"/>
      <c r="AP149" s="31"/>
      <c r="AQ149" s="31"/>
      <c r="AR149" s="1203">
        <v>0.008</v>
      </c>
      <c r="AS149" s="1204" t="s">
        <v>217</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218</v>
      </c>
      <c r="AI150" s="481" t="str">
        <f>+AJ257</f>
        <v>#DIV/0!</v>
      </c>
      <c r="AJ150" s="482"/>
      <c r="AK150" s="482"/>
      <c r="AL150" s="482"/>
      <c r="AM150" s="482"/>
      <c r="AN150" s="482"/>
      <c r="AO150" s="483"/>
      <c r="AP150" s="31"/>
      <c r="AQ150" s="31"/>
      <c r="AR150" s="1205" t="str">
        <f>AI150/AJ146</f>
        <v>#DIV/0!</v>
      </c>
      <c r="AS150" s="1206" t="s">
        <v>612</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219</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220</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222</v>
      </c>
      <c r="Q155" s="493"/>
      <c r="S155" s="493"/>
      <c r="T155" s="493"/>
      <c r="U155" s="493"/>
      <c r="V155" s="90" t="s">
        <v>223</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224</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7" t="s">
        <v>225</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8" t="s">
        <v>226</v>
      </c>
      <c r="B160" s="1208"/>
      <c r="C160" s="91"/>
      <c r="D160" s="91"/>
      <c r="E160" s="1209"/>
      <c r="F160" s="1209"/>
      <c r="G160" s="1209"/>
      <c r="H160" s="1209"/>
      <c r="I160" s="1209"/>
      <c r="J160" s="1210"/>
      <c r="K160" s="1211"/>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8" t="s">
        <v>227</v>
      </c>
      <c r="B161" s="1208"/>
      <c r="C161" s="91"/>
      <c r="D161" s="91"/>
      <c r="E161" s="1209"/>
      <c r="F161" s="1209"/>
      <c r="G161" s="1209"/>
      <c r="H161" s="1209"/>
      <c r="I161" s="1209"/>
      <c r="J161" s="1210"/>
      <c r="K161" s="1209"/>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8" t="s">
        <v>228</v>
      </c>
      <c r="B162" s="1208"/>
      <c r="C162" s="91"/>
      <c r="D162" s="91"/>
      <c r="E162" s="1209"/>
      <c r="F162" s="1209"/>
      <c r="G162" s="1209"/>
      <c r="H162" s="1209"/>
      <c r="I162" s="1209"/>
      <c r="J162" s="1210"/>
      <c r="K162" s="1209"/>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8" t="s">
        <v>229</v>
      </c>
      <c r="B163" s="1208"/>
      <c r="C163" s="91"/>
      <c r="D163" s="91"/>
      <c r="E163" s="1209"/>
      <c r="F163" s="1209"/>
      <c r="G163" s="1209"/>
      <c r="H163" s="1209"/>
      <c r="I163" s="1209"/>
      <c r="J163" s="1210"/>
      <c r="K163" s="1209"/>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7" t="s">
        <v>230</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231</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232</v>
      </c>
      <c r="D169" s="85"/>
      <c r="E169" s="85"/>
      <c r="F169" s="85"/>
      <c r="G169" s="86"/>
      <c r="H169" s="510" t="s">
        <v>233</v>
      </c>
      <c r="I169" s="85"/>
      <c r="J169" s="85"/>
      <c r="K169" s="85"/>
      <c r="L169" s="85"/>
      <c r="M169" s="85"/>
      <c r="N169" s="86"/>
      <c r="O169" s="510" t="s">
        <v>234</v>
      </c>
      <c r="P169" s="85"/>
      <c r="Q169" s="85"/>
      <c r="R169" s="85"/>
      <c r="S169" s="85"/>
      <c r="T169" s="86"/>
      <c r="U169" s="510" t="s">
        <v>235</v>
      </c>
      <c r="V169" s="86"/>
      <c r="W169" s="510" t="s">
        <v>236</v>
      </c>
      <c r="X169" s="85"/>
      <c r="Y169" s="85"/>
      <c r="Z169" s="85"/>
      <c r="AA169" s="85"/>
      <c r="AB169" s="85"/>
      <c r="AC169" s="85"/>
      <c r="AD169" s="85"/>
      <c r="AE169" s="85"/>
      <c r="AF169" s="85"/>
      <c r="AG169" s="85"/>
      <c r="AH169" s="85"/>
      <c r="AI169" s="86"/>
      <c r="AJ169" s="510" t="s">
        <v>237</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12" t="str">
        <f>E8</f>
        <v/>
      </c>
      <c r="D170" s="85"/>
      <c r="E170" s="85"/>
      <c r="F170" s="85"/>
      <c r="G170" s="86"/>
      <c r="H170" s="1213" t="str">
        <f>UPPER(+Mercado!F30)</f>
        <v>AVENIDA FIDEL VELAZQUEZ 380</v>
      </c>
      <c r="I170" s="255"/>
      <c r="J170" s="255"/>
      <c r="K170" s="255"/>
      <c r="L170" s="255"/>
      <c r="M170" s="255"/>
      <c r="N170" s="253"/>
      <c r="O170" s="1214" t="str">
        <f>UPPER(+Mercado!E30)</f>
        <v>SAN ELIAS</v>
      </c>
      <c r="P170" s="255"/>
      <c r="Q170" s="255"/>
      <c r="R170" s="255"/>
      <c r="S170" s="255"/>
      <c r="T170" s="253"/>
      <c r="U170" s="1215">
        <f>+Mercado!L30</f>
        <v>40</v>
      </c>
      <c r="V170" s="253"/>
      <c r="W170" s="1216" t="str">
        <f>PROPER(+Mercado!G30)</f>
        <v>1 Nivel 3 Recamaras Con Closet Cocina Con Alacenas Estufas Área Sala-Comedor 1 Baño Completo Patio Amplio Con Jardín</v>
      </c>
      <c r="X170" s="255"/>
      <c r="Y170" s="255"/>
      <c r="Z170" s="255"/>
      <c r="AA170" s="255"/>
      <c r="AB170" s="255"/>
      <c r="AC170" s="255"/>
      <c r="AD170" s="255"/>
      <c r="AE170" s="255"/>
      <c r="AF170" s="255"/>
      <c r="AG170" s="255"/>
      <c r="AH170" s="255"/>
      <c r="AI170" s="253"/>
      <c r="AJ170" s="1217" t="str">
        <f>UPPER(CONCATENATE(Mercado!M30,Mercado!N30))</f>
        <v>GPM BIENES RAICES 33 1305 0083</v>
      </c>
      <c r="AK170" s="255"/>
      <c r="AL170" s="255"/>
      <c r="AM170" s="255"/>
      <c r="AN170" s="255"/>
      <c r="AO170" s="253"/>
      <c r="AP170" s="31"/>
      <c r="AQ170" s="519"/>
      <c r="AR170" s="520" t="s">
        <v>238</v>
      </c>
      <c r="AS170" s="520" t="s">
        <v>239</v>
      </c>
      <c r="AT170" s="520" t="s">
        <v>240</v>
      </c>
      <c r="AU170" s="521" t="s">
        <v>239</v>
      </c>
      <c r="AV170" s="522"/>
      <c r="AW170" s="520" t="s">
        <v>238</v>
      </c>
      <c r="AX170" s="520" t="s">
        <v>239</v>
      </c>
      <c r="AY170" s="520"/>
      <c r="AZ170" s="520" t="s">
        <v>240</v>
      </c>
      <c r="BA170" s="521" t="s">
        <v>239</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12" t="str">
        <f t="shared" ref="C171:C174" si="23">C170</f>
        <v/>
      </c>
      <c r="D171" s="85"/>
      <c r="E171" s="85"/>
      <c r="F171" s="85"/>
      <c r="G171" s="86"/>
      <c r="H171" s="1213" t="str">
        <f>UPPER(+Mercado!F31)</f>
        <v>PLATÓN S/N</v>
      </c>
      <c r="I171" s="255"/>
      <c r="J171" s="255"/>
      <c r="K171" s="255"/>
      <c r="L171" s="255"/>
      <c r="M171" s="255"/>
      <c r="N171" s="253"/>
      <c r="O171" s="1214" t="str">
        <f>UPPER(+Mercado!E31)</f>
        <v>INDEPENDENCIA</v>
      </c>
      <c r="P171" s="255"/>
      <c r="Q171" s="255"/>
      <c r="R171" s="255"/>
      <c r="S171" s="255"/>
      <c r="T171" s="253"/>
      <c r="U171" s="1215">
        <f>+Mercado!L31</f>
        <v>30</v>
      </c>
      <c r="V171" s="253"/>
      <c r="W171" s="1216" t="str">
        <f>PROPER(+Mercado!G31)</f>
        <v>3 Recámaras 2 1/2 Baños 3 Cocheras Terraza Al Ingreso De La Casa 1 Área De Lavado Local Comercial Al Frente De 35.00 Mts Con Medio Baño.</v>
      </c>
      <c r="X171" s="255"/>
      <c r="Y171" s="255"/>
      <c r="Z171" s="255"/>
      <c r="AA171" s="255"/>
      <c r="AB171" s="255"/>
      <c r="AC171" s="255"/>
      <c r="AD171" s="255"/>
      <c r="AE171" s="255"/>
      <c r="AF171" s="255"/>
      <c r="AG171" s="255"/>
      <c r="AH171" s="255"/>
      <c r="AI171" s="253"/>
      <c r="AJ171" s="1217" t="str">
        <f>UPPER(CONCATENATE(Mercado!M31,Mercado!N31))</f>
        <v>IMPACTO INMOBILIARIA33 3485 2244</v>
      </c>
      <c r="AK171" s="255"/>
      <c r="AL171" s="255"/>
      <c r="AM171" s="255"/>
      <c r="AN171" s="255"/>
      <c r="AO171" s="253"/>
      <c r="AP171" s="31"/>
      <c r="AQ171" s="525" t="s">
        <v>170</v>
      </c>
      <c r="AR171" s="526">
        <f>+AC108</f>
        <v>0</v>
      </c>
      <c r="AS171" s="527">
        <f t="shared" ref="AS171:AS173" si="24">+AR171/$AR$173</f>
        <v>0</v>
      </c>
      <c r="AT171" s="526">
        <f>+AC108</f>
        <v>0</v>
      </c>
      <c r="AU171" s="528" t="str">
        <f t="shared" ref="AU171:AU173" si="25">+AT171/$AT$173</f>
        <v>#DIV/0!</v>
      </c>
      <c r="AV171" s="529" t="s">
        <v>241</v>
      </c>
      <c r="AW171" s="526">
        <f>+AJ111</f>
        <v>0</v>
      </c>
      <c r="AX171" s="527" t="str">
        <f t="shared" ref="AX171:AX174" si="26">+AW171/$AW$174</f>
        <v>#DIV/0!</v>
      </c>
      <c r="AY171" s="529" t="s">
        <v>241</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12" t="str">
        <f t="shared" si="23"/>
        <v/>
      </c>
      <c r="D172" s="85"/>
      <c r="E172" s="85"/>
      <c r="F172" s="85"/>
      <c r="G172" s="86"/>
      <c r="H172" s="1213" t="str">
        <f>UPPER(+Mercado!F32)</f>
        <v>MONUMENTAL S/N</v>
      </c>
      <c r="I172" s="255"/>
      <c r="J172" s="255"/>
      <c r="K172" s="255"/>
      <c r="L172" s="255"/>
      <c r="M172" s="255"/>
      <c r="N172" s="253"/>
      <c r="O172" s="1214" t="str">
        <f>UPPER(+Mercado!E32)</f>
        <v>MONUMENTAL</v>
      </c>
      <c r="P172" s="255"/>
      <c r="Q172" s="255"/>
      <c r="R172" s="255"/>
      <c r="S172" s="255"/>
      <c r="T172" s="253"/>
      <c r="U172" s="1215">
        <f>+Mercado!L32</f>
        <v>6</v>
      </c>
      <c r="V172" s="253"/>
      <c r="W172" s="1216" t="str">
        <f>PROPER(+Mercado!G32)</f>
        <v>Cochera Un Auto, Jardín Exterior, Sala Comedor, Cocina, Patio De Servicio, Pasillo Distribuidor, Dos Recámara Secundarias Cada Una Con Su Clóset Que Comparten Un Baño Completo Y Otra Principal Con Baño Completo, Jardín Interior.</v>
      </c>
      <c r="X172" s="255"/>
      <c r="Y172" s="255"/>
      <c r="Z172" s="255"/>
      <c r="AA172" s="255"/>
      <c r="AB172" s="255"/>
      <c r="AC172" s="255"/>
      <c r="AD172" s="255"/>
      <c r="AE172" s="255"/>
      <c r="AF172" s="255"/>
      <c r="AG172" s="255"/>
      <c r="AH172" s="255"/>
      <c r="AI172" s="253"/>
      <c r="AJ172" s="1217" t="str">
        <f>UPPER(CONCATENATE(Mercado!M32,Mercado!N32))</f>
        <v>ENF COMERCIALIZADORA5664068640</v>
      </c>
      <c r="AK172" s="255"/>
      <c r="AL172" s="255"/>
      <c r="AM172" s="255"/>
      <c r="AN172" s="255"/>
      <c r="AO172" s="253"/>
      <c r="AP172" s="31"/>
      <c r="AQ172" s="525" t="s">
        <v>242</v>
      </c>
      <c r="AR172" s="530">
        <f>+AC115</f>
        <v>3060</v>
      </c>
      <c r="AS172" s="527">
        <f t="shared" si="24"/>
        <v>1</v>
      </c>
      <c r="AT172" s="531" t="str">
        <f>+AL194-AT171</f>
        <v>#DIV/0!</v>
      </c>
      <c r="AU172" s="528" t="str">
        <f t="shared" si="25"/>
        <v>#DIV/0!</v>
      </c>
      <c r="AV172" s="529" t="s">
        <v>243</v>
      </c>
      <c r="AW172" s="530">
        <f>+AJ123</f>
        <v>0</v>
      </c>
      <c r="AX172" s="527" t="str">
        <f t="shared" si="26"/>
        <v>#DIV/0!</v>
      </c>
      <c r="AY172" s="529" t="s">
        <v>243</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12" t="str">
        <f t="shared" si="23"/>
        <v/>
      </c>
      <c r="D173" s="85"/>
      <c r="E173" s="85"/>
      <c r="F173" s="85"/>
      <c r="G173" s="86"/>
      <c r="H173" s="1213" t="str">
        <f>UPPER(+Mercado!F33)</f>
        <v>AVENIDA DE LOS MAESTROS 576</v>
      </c>
      <c r="I173" s="255"/>
      <c r="J173" s="255"/>
      <c r="K173" s="255"/>
      <c r="L173" s="255"/>
      <c r="M173" s="255"/>
      <c r="N173" s="253"/>
      <c r="O173" s="1214" t="str">
        <f>UPPER(+Mercado!E33)</f>
        <v>ALCALDE BARRANQUITAS</v>
      </c>
      <c r="P173" s="255"/>
      <c r="Q173" s="255"/>
      <c r="R173" s="255"/>
      <c r="S173" s="255"/>
      <c r="T173" s="253"/>
      <c r="U173" s="1215">
        <f>+Mercado!L33</f>
        <v>40</v>
      </c>
      <c r="V173" s="253"/>
      <c r="W173" s="1216" t="str">
        <f>PROPER(+Mercado!G33)</f>
        <v>4 Recámaras, 2 Baños Uso De Suelo Mixto, Comercial Y Habitacional, Cuarto De Servicio Con Baño, Área De Lavandería</v>
      </c>
      <c r="X173" s="255"/>
      <c r="Y173" s="255"/>
      <c r="Z173" s="255"/>
      <c r="AA173" s="255"/>
      <c r="AB173" s="255"/>
      <c r="AC173" s="255"/>
      <c r="AD173" s="255"/>
      <c r="AE173" s="255"/>
      <c r="AF173" s="255"/>
      <c r="AG173" s="255"/>
      <c r="AH173" s="255"/>
      <c r="AI173" s="253"/>
      <c r="AJ173" s="1217" t="str">
        <f>UPPER(CONCATENATE(Mercado!M33,Mercado!N33))</f>
        <v>IAD INMOBILIARIA5513289530</v>
      </c>
      <c r="AK173" s="255"/>
      <c r="AL173" s="255"/>
      <c r="AM173" s="255"/>
      <c r="AN173" s="255"/>
      <c r="AO173" s="253"/>
      <c r="AP173" s="31"/>
      <c r="AQ173" s="532" t="s">
        <v>244</v>
      </c>
      <c r="AR173" s="533">
        <f>SUM(AR171:AR172)</f>
        <v>3060</v>
      </c>
      <c r="AS173" s="534">
        <f t="shared" si="24"/>
        <v>1</v>
      </c>
      <c r="AT173" s="535" t="str">
        <f>SUM(AT171:AT172)</f>
        <v>#DIV/0!</v>
      </c>
      <c r="AU173" s="536" t="str">
        <f t="shared" si="25"/>
        <v>#DIV/0!</v>
      </c>
      <c r="AV173" s="537" t="s">
        <v>245</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12" t="str">
        <f t="shared" si="23"/>
        <v/>
      </c>
      <c r="D174" s="85"/>
      <c r="E174" s="85"/>
      <c r="F174" s="85"/>
      <c r="G174" s="86"/>
      <c r="H174" s="1218" t="str">
        <f>UPPER(+Mercado!F34)</f>
        <v> LOS ALPES 1548</v>
      </c>
      <c r="I174" s="85"/>
      <c r="J174" s="85"/>
      <c r="K174" s="85"/>
      <c r="L174" s="85"/>
      <c r="M174" s="85"/>
      <c r="N174" s="86"/>
      <c r="O174" s="1219" t="str">
        <f>UPPER(+Mercado!E34)</f>
        <v>INDEPENDENCIA ORIENTE</v>
      </c>
      <c r="P174" s="85"/>
      <c r="Q174" s="85"/>
      <c r="R174" s="85"/>
      <c r="S174" s="85"/>
      <c r="T174" s="86"/>
      <c r="U174" s="1220">
        <f>+Mercado!L34</f>
        <v>40</v>
      </c>
      <c r="V174" s="86"/>
      <c r="W174" s="1221" t="str">
        <f>PROPER(+Mercado!G34)</f>
        <v>Sala Y Comedor Cocina Integral 5 Recámaras, 2 Baños Completos, Jardín Lateral, Espacio Para 1 Auto</v>
      </c>
      <c r="X174" s="85"/>
      <c r="Y174" s="85"/>
      <c r="Z174" s="85"/>
      <c r="AA174" s="85"/>
      <c r="AB174" s="85"/>
      <c r="AC174" s="85"/>
      <c r="AD174" s="85"/>
      <c r="AE174" s="85"/>
      <c r="AF174" s="85"/>
      <c r="AG174" s="85"/>
      <c r="AH174" s="85"/>
      <c r="AI174" s="86"/>
      <c r="AJ174" s="1222" t="str">
        <f>UPPER(CONCATENATE(Mercado!M34,Mercado!N34))</f>
        <v>CASA ADMINISTRACIONES33 3040 8700</v>
      </c>
      <c r="AK174" s="85"/>
      <c r="AL174" s="85"/>
      <c r="AM174" s="85"/>
      <c r="AN174" s="85"/>
      <c r="AO174" s="86"/>
      <c r="AP174" s="31"/>
      <c r="AQ174" s="31"/>
      <c r="AR174" s="31"/>
      <c r="AS174" s="31"/>
      <c r="AT174" s="31"/>
      <c r="AU174" s="31"/>
      <c r="AV174" s="546" t="s">
        <v>244</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246</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247</v>
      </c>
      <c r="D177" s="85"/>
      <c r="E177" s="86"/>
      <c r="F177" s="557" t="s">
        <v>248</v>
      </c>
      <c r="G177" s="85"/>
      <c r="H177" s="86"/>
      <c r="I177" s="558" t="s">
        <v>249</v>
      </c>
      <c r="J177" s="85"/>
      <c r="K177" s="85"/>
      <c r="L177" s="86"/>
      <c r="M177" s="558" t="s">
        <v>250</v>
      </c>
      <c r="N177" s="85"/>
      <c r="O177" s="86"/>
      <c r="P177" s="557" t="s">
        <v>251</v>
      </c>
      <c r="Q177" s="86"/>
      <c r="R177" s="557" t="s">
        <v>252</v>
      </c>
      <c r="S177" s="85"/>
      <c r="T177" s="86"/>
      <c r="U177" s="559"/>
      <c r="V177" s="560"/>
      <c r="W177" s="558" t="s">
        <v>253</v>
      </c>
      <c r="X177" s="85"/>
      <c r="Y177" s="86"/>
      <c r="Z177" s="558" t="s">
        <v>254</v>
      </c>
      <c r="AA177" s="85"/>
      <c r="AB177" s="85"/>
      <c r="AC177" s="86"/>
      <c r="AD177" s="561" t="s">
        <v>255</v>
      </c>
      <c r="AE177" s="85"/>
      <c r="AF177" s="86"/>
      <c r="AG177" s="562" t="s">
        <v>256</v>
      </c>
      <c r="AH177" s="86"/>
      <c r="AI177" s="557" t="s">
        <v>257</v>
      </c>
      <c r="AJ177" s="85"/>
      <c r="AK177" s="86"/>
      <c r="AL177" s="558" t="s">
        <v>258</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3">
        <f>Mercado!H30</f>
        <v>117</v>
      </c>
      <c r="D178" s="255"/>
      <c r="E178" s="565"/>
      <c r="F178" s="1224">
        <f>Mercado!I30</f>
        <v>71</v>
      </c>
      <c r="G178" s="567"/>
      <c r="H178" s="568"/>
      <c r="I178" s="1225">
        <f>Mercado!J30</f>
        <v>2700000</v>
      </c>
      <c r="J178" s="582"/>
      <c r="K178" s="582"/>
      <c r="L178" s="524"/>
      <c r="M178" s="1226">
        <f t="shared" ref="M178:M182" si="28">I178/F178</f>
        <v>38028.16901</v>
      </c>
      <c r="N178" s="567"/>
      <c r="O178" s="512"/>
      <c r="P178" s="1227">
        <f t="shared" ref="P178:P182" si="29">+F178/C178</f>
        <v>0.6068376068</v>
      </c>
      <c r="Q178" s="253"/>
      <c r="R178" s="1228" t="str">
        <f t="shared" ref="R178:R182" si="30">$K$123/$C$111</f>
        <v>#DIV/0!</v>
      </c>
      <c r="S178" s="567"/>
      <c r="T178" s="512"/>
      <c r="U178" s="1229"/>
      <c r="V178" s="1230"/>
      <c r="W178" s="1231" t="str">
        <f t="shared" ref="W178:W182" si="31">+F178/R178</f>
        <v>#DIV/0!</v>
      </c>
      <c r="X178" s="255"/>
      <c r="Y178" s="253"/>
      <c r="Z178" s="1231" t="str">
        <f t="shared" ref="Z178:Z182" si="32">+W178-C178</f>
        <v>#DIV/0!</v>
      </c>
      <c r="AA178" s="255"/>
      <c r="AB178" s="255"/>
      <c r="AC178" s="253"/>
      <c r="AD178" s="1232" t="str">
        <f>+G108</f>
        <v/>
      </c>
      <c r="AE178" s="255"/>
      <c r="AF178" s="253"/>
      <c r="AG178" s="1233" t="str">
        <f t="shared" ref="AG178:AG182" si="33">+Z178*AD178</f>
        <v>#DIV/0!</v>
      </c>
      <c r="AH178" s="253"/>
      <c r="AI178" s="1234" t="str">
        <f t="shared" ref="AI178:AI182" si="34">+I178+AG178</f>
        <v>#DIV/0!</v>
      </c>
      <c r="AJ178" s="255"/>
      <c r="AK178" s="253"/>
      <c r="AL178" s="1235"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6">
        <f>Mercado!H31</f>
        <v>276</v>
      </c>
      <c r="D179" s="582"/>
      <c r="E179" s="583"/>
      <c r="F179" s="1237">
        <f>Mercado!I31</f>
        <v>193</v>
      </c>
      <c r="G179" s="582"/>
      <c r="H179" s="583"/>
      <c r="I179" s="1225">
        <f>Mercado!J31</f>
        <v>6600000</v>
      </c>
      <c r="J179" s="582"/>
      <c r="K179" s="582"/>
      <c r="L179" s="524"/>
      <c r="M179" s="1238">
        <f t="shared" si="28"/>
        <v>34196.89119</v>
      </c>
      <c r="N179" s="582"/>
      <c r="O179" s="524"/>
      <c r="P179" s="1239">
        <f t="shared" si="29"/>
        <v>0.6992753623</v>
      </c>
      <c r="Q179" s="524"/>
      <c r="R179" s="1239" t="str">
        <f t="shared" si="30"/>
        <v>#DIV/0!</v>
      </c>
      <c r="S179" s="582"/>
      <c r="T179" s="524"/>
      <c r="U179" s="1229"/>
      <c r="V179" s="1230"/>
      <c r="W179" s="1240" t="str">
        <f t="shared" si="31"/>
        <v>#DIV/0!</v>
      </c>
      <c r="X179" s="582"/>
      <c r="Y179" s="524"/>
      <c r="Z179" s="1240" t="str">
        <f t="shared" si="32"/>
        <v>#DIV/0!</v>
      </c>
      <c r="AA179" s="582"/>
      <c r="AB179" s="582"/>
      <c r="AC179" s="524"/>
      <c r="AD179" s="1241" t="str">
        <f t="shared" ref="AD179:AD182" si="36">AD178</f>
        <v/>
      </c>
      <c r="AE179" s="582"/>
      <c r="AF179" s="524"/>
      <c r="AG179" s="1242" t="str">
        <f t="shared" si="33"/>
        <v>#DIV/0!</v>
      </c>
      <c r="AH179" s="524"/>
      <c r="AI179" s="1243" t="str">
        <f t="shared" si="34"/>
        <v>#DIV/0!</v>
      </c>
      <c r="AJ179" s="582"/>
      <c r="AK179" s="524"/>
      <c r="AL179" s="1244"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6">
        <f>Mercado!H32</f>
        <v>140</v>
      </c>
      <c r="D180" s="582"/>
      <c r="E180" s="583"/>
      <c r="F180" s="1237">
        <f>Mercado!I32</f>
        <v>103</v>
      </c>
      <c r="G180" s="582"/>
      <c r="H180" s="583"/>
      <c r="I180" s="1225">
        <f>Mercado!J32</f>
        <v>3790000</v>
      </c>
      <c r="J180" s="582"/>
      <c r="K180" s="582"/>
      <c r="L180" s="524"/>
      <c r="M180" s="1238">
        <f t="shared" si="28"/>
        <v>36796.1165</v>
      </c>
      <c r="N180" s="582"/>
      <c r="O180" s="524"/>
      <c r="P180" s="1239">
        <f t="shared" si="29"/>
        <v>0.7357142857</v>
      </c>
      <c r="Q180" s="524"/>
      <c r="R180" s="1239" t="str">
        <f t="shared" si="30"/>
        <v>#DIV/0!</v>
      </c>
      <c r="S180" s="582"/>
      <c r="T180" s="524"/>
      <c r="U180" s="1229"/>
      <c r="V180" s="1230"/>
      <c r="W180" s="1240" t="str">
        <f t="shared" si="31"/>
        <v>#DIV/0!</v>
      </c>
      <c r="X180" s="582"/>
      <c r="Y180" s="524"/>
      <c r="Z180" s="1240" t="str">
        <f t="shared" si="32"/>
        <v>#DIV/0!</v>
      </c>
      <c r="AA180" s="582"/>
      <c r="AB180" s="582"/>
      <c r="AC180" s="524"/>
      <c r="AD180" s="1241" t="str">
        <f t="shared" si="36"/>
        <v/>
      </c>
      <c r="AE180" s="582"/>
      <c r="AF180" s="524"/>
      <c r="AG180" s="1242" t="str">
        <f t="shared" si="33"/>
        <v>#DIV/0!</v>
      </c>
      <c r="AH180" s="524"/>
      <c r="AI180" s="1243" t="str">
        <f t="shared" si="34"/>
        <v>#DIV/0!</v>
      </c>
      <c r="AJ180" s="582"/>
      <c r="AK180" s="524"/>
      <c r="AL180" s="1244"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6">
        <f>Mercado!H33</f>
        <v>314</v>
      </c>
      <c r="D181" s="582"/>
      <c r="E181" s="583"/>
      <c r="F181" s="1237">
        <f>Mercado!I33</f>
        <v>201</v>
      </c>
      <c r="G181" s="582"/>
      <c r="H181" s="583"/>
      <c r="I181" s="1225">
        <f>Mercado!J33</f>
        <v>7500000</v>
      </c>
      <c r="J181" s="582"/>
      <c r="K181" s="582"/>
      <c r="L181" s="524"/>
      <c r="M181" s="1238">
        <f t="shared" si="28"/>
        <v>37313.43284</v>
      </c>
      <c r="N181" s="582"/>
      <c r="O181" s="524"/>
      <c r="P181" s="1239">
        <f t="shared" si="29"/>
        <v>0.6401273885</v>
      </c>
      <c r="Q181" s="524"/>
      <c r="R181" s="1239" t="str">
        <f t="shared" si="30"/>
        <v>#DIV/0!</v>
      </c>
      <c r="S181" s="582"/>
      <c r="T181" s="524"/>
      <c r="U181" s="1229"/>
      <c r="V181" s="1230"/>
      <c r="W181" s="1240" t="str">
        <f t="shared" si="31"/>
        <v>#DIV/0!</v>
      </c>
      <c r="X181" s="582"/>
      <c r="Y181" s="524"/>
      <c r="Z181" s="1240" t="str">
        <f t="shared" si="32"/>
        <v>#DIV/0!</v>
      </c>
      <c r="AA181" s="582"/>
      <c r="AB181" s="582"/>
      <c r="AC181" s="524"/>
      <c r="AD181" s="1241" t="str">
        <f t="shared" si="36"/>
        <v/>
      </c>
      <c r="AE181" s="582"/>
      <c r="AF181" s="524"/>
      <c r="AG181" s="1242" t="str">
        <f t="shared" si="33"/>
        <v>#DIV/0!</v>
      </c>
      <c r="AH181" s="524"/>
      <c r="AI181" s="1243" t="str">
        <f t="shared" si="34"/>
        <v>#DIV/0!</v>
      </c>
      <c r="AJ181" s="582"/>
      <c r="AK181" s="524"/>
      <c r="AL181" s="1244"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5">
        <f>Mercado!H34</f>
        <v>175</v>
      </c>
      <c r="D182" s="598"/>
      <c r="E182" s="599"/>
      <c r="F182" s="1246">
        <f>Mercado!I34</f>
        <v>158</v>
      </c>
      <c r="G182" s="598"/>
      <c r="H182" s="599"/>
      <c r="I182" s="1247">
        <f>Mercado!J34</f>
        <v>4200000</v>
      </c>
      <c r="J182" s="598"/>
      <c r="K182" s="598"/>
      <c r="L182" s="602"/>
      <c r="M182" s="1248">
        <f t="shared" si="28"/>
        <v>26582.27848</v>
      </c>
      <c r="N182" s="604"/>
      <c r="O182" s="596"/>
      <c r="P182" s="1249">
        <f t="shared" si="29"/>
        <v>0.9028571429</v>
      </c>
      <c r="Q182" s="596"/>
      <c r="R182" s="1249" t="str">
        <f t="shared" si="30"/>
        <v>#DIV/0!</v>
      </c>
      <c r="S182" s="604"/>
      <c r="T182" s="596"/>
      <c r="U182" s="1250"/>
      <c r="V182" s="1251"/>
      <c r="W182" s="1252" t="str">
        <f t="shared" si="31"/>
        <v>#DIV/0!</v>
      </c>
      <c r="X182" s="604"/>
      <c r="Y182" s="596"/>
      <c r="Z182" s="1252" t="str">
        <f t="shared" si="32"/>
        <v>#DIV/0!</v>
      </c>
      <c r="AA182" s="604"/>
      <c r="AB182" s="604"/>
      <c r="AC182" s="596"/>
      <c r="AD182" s="1253" t="str">
        <f t="shared" si="36"/>
        <v/>
      </c>
      <c r="AE182" s="604"/>
      <c r="AF182" s="596"/>
      <c r="AG182" s="1254" t="str">
        <f t="shared" si="33"/>
        <v>#DIV/0!</v>
      </c>
      <c r="AH182" s="596"/>
      <c r="AI182" s="1255" t="str">
        <f t="shared" si="34"/>
        <v>#DIV/0!</v>
      </c>
      <c r="AJ182" s="604"/>
      <c r="AK182" s="596"/>
      <c r="AL182" s="1256"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7" t="s">
        <v>104</v>
      </c>
      <c r="F183" s="1257" t="s">
        <v>104</v>
      </c>
      <c r="I183" s="1257"/>
      <c r="M183" s="1257"/>
      <c r="N183" s="1258"/>
      <c r="P183" s="1259"/>
      <c r="R183" s="34"/>
      <c r="U183" s="1260"/>
      <c r="V183" s="1260"/>
      <c r="W183" s="34"/>
      <c r="Z183" s="34"/>
      <c r="AD183" s="1261"/>
      <c r="AG183" s="1262"/>
      <c r="AI183" s="1263"/>
      <c r="AL183" s="1264"/>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5"/>
      <c r="D184" s="1265"/>
      <c r="E184" s="34"/>
      <c r="F184" s="1266"/>
      <c r="G184" s="1266"/>
      <c r="H184" s="34"/>
      <c r="I184" s="1266"/>
      <c r="J184" s="1267"/>
      <c r="K184" s="1267"/>
      <c r="L184" s="1268" t="s">
        <v>259</v>
      </c>
      <c r="M184" s="1269">
        <f>AVERAGE(M178:M182)</f>
        <v>34583.37761</v>
      </c>
      <c r="N184" s="482"/>
      <c r="O184" s="483"/>
      <c r="P184" s="1267"/>
      <c r="Q184" s="34"/>
      <c r="R184" s="34"/>
      <c r="S184" s="1267"/>
      <c r="T184" s="34"/>
      <c r="U184" s="34"/>
      <c r="V184" s="34"/>
      <c r="W184" s="34"/>
      <c r="X184" s="1267"/>
      <c r="Y184" s="34"/>
      <c r="Z184" s="34"/>
      <c r="AA184" s="1267"/>
      <c r="AB184" s="1267"/>
      <c r="AC184" s="1267"/>
      <c r="AD184" s="1267"/>
      <c r="AE184" s="1267"/>
      <c r="AF184" s="1267"/>
      <c r="AG184" s="1267"/>
      <c r="AH184" s="1262"/>
      <c r="AI184" s="1262"/>
      <c r="AJ184" s="1268" t="s">
        <v>260</v>
      </c>
      <c r="AK184" s="1270"/>
      <c r="AL184" s="1271" t="str">
        <f>AVERAGE(AL178:AL182)</f>
        <v>#DIV/0!</v>
      </c>
      <c r="AM184" s="482"/>
      <c r="AN184" s="482"/>
      <c r="AO184" s="483"/>
      <c r="AP184" s="31"/>
      <c r="AQ184" s="31"/>
      <c r="AR184" s="31"/>
      <c r="AS184" s="31"/>
      <c r="AT184" s="631">
        <f>+K123</f>
        <v>0</v>
      </c>
      <c r="AV184" s="31" t="s">
        <v>261</v>
      </c>
      <c r="AW184" s="31"/>
      <c r="AX184" s="31"/>
      <c r="AY184" s="31"/>
      <c r="AZ184" s="31" t="s">
        <v>262</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263</v>
      </c>
      <c r="B186" s="632"/>
      <c r="C186" s="633"/>
      <c r="D186" s="633"/>
      <c r="E186" s="633"/>
      <c r="F186" s="633"/>
      <c r="G186" s="633"/>
      <c r="H186" s="633"/>
      <c r="I186" s="633"/>
      <c r="J186" s="547"/>
      <c r="K186" s="34"/>
      <c r="L186" s="634" t="s">
        <v>264</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265</v>
      </c>
      <c r="AZ186" s="636" t="s">
        <v>266</v>
      </c>
      <c r="BA186" s="637"/>
      <c r="BB186" s="31"/>
      <c r="BC186" s="636" t="s">
        <v>267</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247</v>
      </c>
      <c r="D187" s="85"/>
      <c r="E187" s="86"/>
      <c r="F187" s="557" t="s">
        <v>248</v>
      </c>
      <c r="G187" s="85"/>
      <c r="H187" s="86"/>
      <c r="I187" s="638" t="s">
        <v>250</v>
      </c>
      <c r="J187" s="85"/>
      <c r="K187" s="86"/>
      <c r="L187" s="639" t="s">
        <v>162</v>
      </c>
      <c r="M187" s="85"/>
      <c r="N187" s="639" t="s">
        <v>163</v>
      </c>
      <c r="O187" s="85"/>
      <c r="P187" s="86"/>
      <c r="Q187" s="639" t="s">
        <v>268</v>
      </c>
      <c r="R187" s="85"/>
      <c r="S187" s="86"/>
      <c r="T187" s="639" t="s">
        <v>166</v>
      </c>
      <c r="U187" s="85"/>
      <c r="V187" s="85"/>
      <c r="W187" s="85"/>
      <c r="X187" s="86"/>
      <c r="Y187" s="639" t="s">
        <v>129</v>
      </c>
      <c r="Z187" s="85"/>
      <c r="AA187" s="86"/>
      <c r="AB187" s="639" t="s">
        <v>180</v>
      </c>
      <c r="AC187" s="85"/>
      <c r="AD187" s="86"/>
      <c r="AE187" s="639" t="s">
        <v>167</v>
      </c>
      <c r="AF187" s="85"/>
      <c r="AG187" s="86"/>
      <c r="AH187" s="639" t="s">
        <v>269</v>
      </c>
      <c r="AI187" s="85"/>
      <c r="AJ187" s="85"/>
      <c r="AK187" s="86"/>
      <c r="AL187" s="638" t="s">
        <v>270</v>
      </c>
      <c r="AM187" s="85"/>
      <c r="AN187" s="85"/>
      <c r="AO187" s="86"/>
      <c r="AP187" s="259"/>
      <c r="AQ187" s="31"/>
      <c r="AR187" s="31"/>
      <c r="AS187" s="31"/>
      <c r="AT187" s="31"/>
      <c r="AU187" s="31"/>
      <c r="AV187" s="640" t="s">
        <v>268</v>
      </c>
      <c r="AW187" s="64" t="s">
        <v>271</v>
      </c>
      <c r="AX187" s="31"/>
      <c r="AY187" s="641">
        <f>+A87</f>
        <v>2026</v>
      </c>
      <c r="AZ187" s="642">
        <f>VLOOKUP(AY187,'catalogo 2'!A143:C185,3)/100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72">
        <f t="shared" ref="C188:C192" si="37">C178</f>
        <v>117</v>
      </c>
      <c r="D188" s="255"/>
      <c r="E188" s="253"/>
      <c r="F188" s="1272">
        <f t="shared" ref="F188:F192" si="38">F178</f>
        <v>71</v>
      </c>
      <c r="G188" s="255"/>
      <c r="H188" s="253"/>
      <c r="I188" s="1273" t="str">
        <f t="shared" ref="I188:I192" si="39">AL178</f>
        <v>#DIV/0!</v>
      </c>
      <c r="J188" s="255"/>
      <c r="K188" s="253"/>
      <c r="L188" s="1274">
        <v>1.0</v>
      </c>
      <c r="M188" s="567"/>
      <c r="N188" s="1274">
        <v>1.0</v>
      </c>
      <c r="O188" s="567"/>
      <c r="P188" s="512"/>
      <c r="Q188" s="1275" t="str">
        <f t="shared" ref="Q188:Q192" si="40">+AV188</f>
        <v>#DIV/0!</v>
      </c>
      <c r="R188" s="255"/>
      <c r="S188" s="253"/>
      <c r="T188" s="1275">
        <f t="shared" ref="T188:T192" si="41">+AW188</f>
        <v>0</v>
      </c>
      <c r="U188" s="255"/>
      <c r="V188" s="255"/>
      <c r="W188" s="255"/>
      <c r="X188" s="253"/>
      <c r="Y188" s="1276">
        <f t="shared" ref="Y188:Y192" si="42">+$AZ$187/AZ188</f>
        <v>0.725</v>
      </c>
      <c r="Z188" s="567"/>
      <c r="AA188" s="512"/>
      <c r="AB188" s="1274">
        <v>0.9</v>
      </c>
      <c r="AC188" s="567"/>
      <c r="AD188" s="512"/>
      <c r="AE188" s="1277">
        <v>0.95</v>
      </c>
      <c r="AF188" s="255"/>
      <c r="AG188" s="253"/>
      <c r="AH188" s="1276" t="str">
        <f t="shared" ref="AH188:AH192" si="43">ROUND(L188*N188*Q188*T188*Y188*AB188*AE188,2)</f>
        <v>#DIV/0!</v>
      </c>
      <c r="AI188" s="567"/>
      <c r="AJ188" s="567"/>
      <c r="AK188" s="512"/>
      <c r="AL188" s="1278" t="str">
        <f t="shared" ref="AL188:AL192" si="44">+I188*AH188</f>
        <v>#DIV/0!</v>
      </c>
      <c r="AM188" s="255"/>
      <c r="AN188" s="255"/>
      <c r="AO188" s="253"/>
      <c r="AP188" s="259"/>
      <c r="AQ188" s="31"/>
      <c r="AR188" s="31"/>
      <c r="AS188" s="653"/>
      <c r="AT188" s="653"/>
      <c r="AU188" s="654">
        <v>6.0</v>
      </c>
      <c r="AV188" s="655" t="str">
        <f>(R178/P178)^(1/$AU$188)</f>
        <v>#DIV/0!</v>
      </c>
      <c r="AW188" s="655">
        <f t="shared" ref="AW188:AW192" si="45">($C$111/C178)^(1/$AU$188)</f>
        <v>0</v>
      </c>
      <c r="AX188" s="31"/>
      <c r="AY188" s="31"/>
      <c r="AZ188" s="656">
        <f>VLOOKUP(Mercado!L30,'catalogo 2'!$A$143:$C$185,3)/100 </f>
        <v>0.8</v>
      </c>
      <c r="BA188" s="33"/>
      <c r="BB188" s="31"/>
      <c r="BC188" s="656">
        <f>VLOOKUP(Mercado!L30,'catalogo 2'!$A$2:$C$7,3)/100 </f>
        <v>0.75</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9">
        <f t="shared" si="37"/>
        <v>276</v>
      </c>
      <c r="D189" s="582"/>
      <c r="E189" s="524"/>
      <c r="F189" s="1279">
        <f t="shared" si="38"/>
        <v>193</v>
      </c>
      <c r="G189" s="582"/>
      <c r="H189" s="524"/>
      <c r="I189" s="1280" t="str">
        <f t="shared" si="39"/>
        <v>#DIV/0!</v>
      </c>
      <c r="J189" s="582"/>
      <c r="K189" s="524"/>
      <c r="L189" s="1281">
        <v>1.0</v>
      </c>
      <c r="M189" s="582"/>
      <c r="N189" s="1281">
        <v>1.0</v>
      </c>
      <c r="O189" s="582"/>
      <c r="P189" s="524"/>
      <c r="Q189" s="1281" t="str">
        <f t="shared" si="40"/>
        <v>#DIV/0!</v>
      </c>
      <c r="R189" s="582"/>
      <c r="S189" s="524"/>
      <c r="T189" s="1282">
        <f t="shared" si="41"/>
        <v>0</v>
      </c>
      <c r="U189" s="661"/>
      <c r="V189" s="661"/>
      <c r="W189" s="661"/>
      <c r="X189" s="662"/>
      <c r="Y189" s="1281">
        <f t="shared" si="42"/>
        <v>0.6823529412</v>
      </c>
      <c r="Z189" s="582"/>
      <c r="AA189" s="524"/>
      <c r="AB189" s="1283">
        <v>1.0</v>
      </c>
      <c r="AC189" s="664"/>
      <c r="AD189" s="665"/>
      <c r="AE189" s="1284">
        <f t="shared" ref="AE189:AE192" si="46">+AE188</f>
        <v>0.95</v>
      </c>
      <c r="AF189" s="582"/>
      <c r="AG189" s="524"/>
      <c r="AH189" s="1281" t="str">
        <f t="shared" si="43"/>
        <v>#DIV/0!</v>
      </c>
      <c r="AI189" s="582"/>
      <c r="AJ189" s="582"/>
      <c r="AK189" s="524"/>
      <c r="AL189" s="1285" t="str">
        <f t="shared" si="44"/>
        <v>#DIV/0!</v>
      </c>
      <c r="AM189" s="582"/>
      <c r="AN189" s="582"/>
      <c r="AO189" s="524"/>
      <c r="AP189" s="259"/>
      <c r="AQ189" s="31"/>
      <c r="AR189" s="31"/>
      <c r="AS189" s="31"/>
      <c r="AT189" s="31"/>
      <c r="AU189" s="654">
        <f t="shared" ref="AU189:AU192" si="47">AU188</f>
        <v>6</v>
      </c>
      <c r="AV189" s="668" t="str">
        <f t="shared" ref="AV189:AV192" si="48">(R179/P179)^(1/AU189)</f>
        <v>#DIV/0!</v>
      </c>
      <c r="AW189" s="668">
        <f t="shared" si="45"/>
        <v>0</v>
      </c>
      <c r="AX189" s="31"/>
      <c r="AY189" s="31"/>
      <c r="AZ189" s="656">
        <f>VLOOKUP(Mercado!L31,'catalogo 2'!$A$143:$C$185,3)/100 </f>
        <v>0.85</v>
      </c>
      <c r="BA189" s="33"/>
      <c r="BB189" s="31"/>
      <c r="BC189" s="656">
        <f>VLOOKUP(Mercado!L31,'catalogo 2'!$A$2:$C$7,3)/100 </f>
        <v>0.8</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9">
        <f t="shared" si="37"/>
        <v>140</v>
      </c>
      <c r="D190" s="582"/>
      <c r="E190" s="524"/>
      <c r="F190" s="1279">
        <f t="shared" si="38"/>
        <v>103</v>
      </c>
      <c r="G190" s="582"/>
      <c r="H190" s="524"/>
      <c r="I190" s="1280" t="str">
        <f t="shared" si="39"/>
        <v>#DIV/0!</v>
      </c>
      <c r="J190" s="582"/>
      <c r="K190" s="524"/>
      <c r="L190" s="1286">
        <v>0.9</v>
      </c>
      <c r="M190" s="582"/>
      <c r="N190" s="1286">
        <v>0.9</v>
      </c>
      <c r="O190" s="582"/>
      <c r="P190" s="524"/>
      <c r="Q190" s="1281" t="str">
        <f t="shared" si="40"/>
        <v>#DIV/0!</v>
      </c>
      <c r="R190" s="582"/>
      <c r="S190" s="524"/>
      <c r="T190" s="1282">
        <f t="shared" si="41"/>
        <v>0</v>
      </c>
      <c r="U190" s="661"/>
      <c r="V190" s="661"/>
      <c r="W190" s="661"/>
      <c r="X190" s="662"/>
      <c r="Y190" s="1281">
        <f t="shared" si="42"/>
        <v>0.5979381443</v>
      </c>
      <c r="Z190" s="582"/>
      <c r="AA190" s="524"/>
      <c r="AB190" s="1287">
        <v>0.9</v>
      </c>
      <c r="AC190" s="664"/>
      <c r="AD190" s="665"/>
      <c r="AE190" s="1284">
        <f t="shared" si="46"/>
        <v>0.95</v>
      </c>
      <c r="AF190" s="582"/>
      <c r="AG190" s="524"/>
      <c r="AH190" s="1281" t="str">
        <f t="shared" si="43"/>
        <v>#DIV/0!</v>
      </c>
      <c r="AI190" s="582"/>
      <c r="AJ190" s="582"/>
      <c r="AK190" s="524"/>
      <c r="AL190" s="1285" t="str">
        <f t="shared" si="44"/>
        <v>#DIV/0!</v>
      </c>
      <c r="AM190" s="582"/>
      <c r="AN190" s="582"/>
      <c r="AO190" s="524"/>
      <c r="AP190" s="669"/>
      <c r="AQ190" s="64"/>
      <c r="AR190" s="64"/>
      <c r="AS190" s="64"/>
      <c r="AT190" s="64"/>
      <c r="AU190" s="654">
        <f t="shared" si="47"/>
        <v>6</v>
      </c>
      <c r="AV190" s="668" t="str">
        <f t="shared" si="48"/>
        <v>#DIV/0!</v>
      </c>
      <c r="AW190" s="668">
        <f t="shared" si="45"/>
        <v>0</v>
      </c>
      <c r="AX190" s="31"/>
      <c r="AY190" s="31"/>
      <c r="AZ190" s="656">
        <f>VLOOKUP(Mercado!L32,'catalogo 2'!$A$143:$C$185,3)/100 </f>
        <v>0.97</v>
      </c>
      <c r="BA190" s="33"/>
      <c r="BB190" s="31"/>
      <c r="BC190" s="656">
        <f>VLOOKUP(Mercado!L32,'catalogo 2'!$A$2:$C$7,3)/100 </f>
        <v>0.95</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9">
        <f t="shared" si="37"/>
        <v>314</v>
      </c>
      <c r="D191" s="582"/>
      <c r="E191" s="524"/>
      <c r="F191" s="1279">
        <f t="shared" si="38"/>
        <v>201</v>
      </c>
      <c r="G191" s="582"/>
      <c r="H191" s="524"/>
      <c r="I191" s="1280" t="str">
        <f t="shared" si="39"/>
        <v>#DIV/0!</v>
      </c>
      <c r="J191" s="582"/>
      <c r="K191" s="524"/>
      <c r="L191" s="1286">
        <v>0.95</v>
      </c>
      <c r="M191" s="582"/>
      <c r="N191" s="1286">
        <v>1.0</v>
      </c>
      <c r="O191" s="582"/>
      <c r="P191" s="524"/>
      <c r="Q191" s="1281" t="str">
        <f t="shared" si="40"/>
        <v>#DIV/0!</v>
      </c>
      <c r="R191" s="582"/>
      <c r="S191" s="524"/>
      <c r="T191" s="1282">
        <f t="shared" si="41"/>
        <v>0</v>
      </c>
      <c r="U191" s="661"/>
      <c r="V191" s="661"/>
      <c r="W191" s="661"/>
      <c r="X191" s="662"/>
      <c r="Y191" s="1281">
        <f t="shared" si="42"/>
        <v>0.725</v>
      </c>
      <c r="Z191" s="582"/>
      <c r="AA191" s="524"/>
      <c r="AB191" s="1283">
        <v>1.0</v>
      </c>
      <c r="AC191" s="664"/>
      <c r="AD191" s="665"/>
      <c r="AE191" s="1284">
        <f t="shared" si="46"/>
        <v>0.95</v>
      </c>
      <c r="AF191" s="582"/>
      <c r="AG191" s="524"/>
      <c r="AH191" s="1281" t="str">
        <f t="shared" si="43"/>
        <v>#DIV/0!</v>
      </c>
      <c r="AI191" s="582"/>
      <c r="AJ191" s="582"/>
      <c r="AK191" s="524"/>
      <c r="AL191" s="1285" t="str">
        <f t="shared" si="44"/>
        <v>#DIV/0!</v>
      </c>
      <c r="AM191" s="582"/>
      <c r="AN191" s="582"/>
      <c r="AO191" s="524"/>
      <c r="AP191" s="669"/>
      <c r="AQ191" s="1288"/>
      <c r="AU191" s="654">
        <f t="shared" si="47"/>
        <v>6</v>
      </c>
      <c r="AV191" s="668" t="str">
        <f t="shared" si="48"/>
        <v>#DIV/0!</v>
      </c>
      <c r="AW191" s="668">
        <f t="shared" si="45"/>
        <v>0</v>
      </c>
      <c r="AX191" s="31"/>
      <c r="AY191" s="31"/>
      <c r="AZ191" s="656">
        <f>VLOOKUP(Mercado!L33,'catalogo 2'!$A$143:$C$185,3)/100 </f>
        <v>0.8</v>
      </c>
      <c r="BA191" s="33"/>
      <c r="BB191" s="31"/>
      <c r="BC191" s="656">
        <f>VLOOKUP(Mercado!L33,'catalogo 2'!$A$2:$C$7,3)/100 </f>
        <v>0.75</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9">
        <f t="shared" si="37"/>
        <v>175</v>
      </c>
      <c r="D192" s="604"/>
      <c r="E192" s="596"/>
      <c r="F192" s="1289">
        <f t="shared" si="38"/>
        <v>158</v>
      </c>
      <c r="G192" s="604"/>
      <c r="H192" s="596"/>
      <c r="I192" s="1290" t="str">
        <f t="shared" si="39"/>
        <v>#DIV/0!</v>
      </c>
      <c r="J192" s="604"/>
      <c r="K192" s="596"/>
      <c r="L192" s="1291">
        <v>0.95</v>
      </c>
      <c r="M192" s="604"/>
      <c r="N192" s="1291">
        <v>1.0</v>
      </c>
      <c r="O192" s="604"/>
      <c r="P192" s="596"/>
      <c r="Q192" s="1292" t="str">
        <f t="shared" si="40"/>
        <v>#DIV/0!</v>
      </c>
      <c r="R192" s="604"/>
      <c r="S192" s="596"/>
      <c r="T192" s="1292">
        <f t="shared" si="41"/>
        <v>0</v>
      </c>
      <c r="U192" s="604"/>
      <c r="V192" s="604"/>
      <c r="W192" s="604"/>
      <c r="X192" s="596"/>
      <c r="Y192" s="1292">
        <f t="shared" si="42"/>
        <v>0.725</v>
      </c>
      <c r="Z192" s="604"/>
      <c r="AA192" s="596"/>
      <c r="AB192" s="1291">
        <v>1.02</v>
      </c>
      <c r="AC192" s="604"/>
      <c r="AD192" s="596"/>
      <c r="AE192" s="1293">
        <f t="shared" si="46"/>
        <v>0.95</v>
      </c>
      <c r="AF192" s="604"/>
      <c r="AG192" s="596"/>
      <c r="AH192" s="1292" t="str">
        <f t="shared" si="43"/>
        <v>#DIV/0!</v>
      </c>
      <c r="AI192" s="604"/>
      <c r="AJ192" s="604"/>
      <c r="AK192" s="596"/>
      <c r="AL192" s="1294" t="str">
        <f t="shared" si="44"/>
        <v>#DIV/0!</v>
      </c>
      <c r="AM192" s="604"/>
      <c r="AN192" s="604"/>
      <c r="AO192" s="596"/>
      <c r="AP192" s="669"/>
      <c r="AQ192" s="64"/>
      <c r="AU192" s="654">
        <f t="shared" si="47"/>
        <v>6</v>
      </c>
      <c r="AV192" s="677" t="str">
        <f t="shared" si="48"/>
        <v>#DIV/0!</v>
      </c>
      <c r="AW192" s="677">
        <f t="shared" si="45"/>
        <v>0</v>
      </c>
      <c r="AX192" s="31"/>
      <c r="AY192" s="31"/>
      <c r="AZ192" s="678">
        <f>VLOOKUP(Mercado!L34,'catalogo 2'!$A$143:$C$185,3)/100 </f>
        <v>0.8</v>
      </c>
      <c r="BA192" s="679"/>
      <c r="BB192" s="31"/>
      <c r="BC192" s="678">
        <f>VLOOKUP(Mercado!L34,'catalogo 2'!$A$2:$C$7,3)/100 </f>
        <v>0.75</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5"/>
      <c r="D193" s="1295"/>
      <c r="E193" s="1295"/>
      <c r="F193" s="1295"/>
      <c r="G193" s="1295"/>
      <c r="H193" s="1295"/>
      <c r="I193" s="1296"/>
      <c r="J193" s="1296"/>
      <c r="K193" s="1296"/>
      <c r="L193" s="1297"/>
      <c r="M193" s="1297"/>
      <c r="N193" s="1297"/>
      <c r="O193" s="1297"/>
      <c r="P193" s="1297"/>
      <c r="Q193" s="1298"/>
      <c r="R193" s="1298"/>
      <c r="S193" s="1298"/>
      <c r="T193" s="1299"/>
      <c r="U193" s="1299"/>
      <c r="V193" s="1299"/>
      <c r="W193" s="1299"/>
      <c r="X193" s="1299"/>
      <c r="Y193" s="1297"/>
      <c r="Z193" s="1297"/>
      <c r="AA193" s="1297"/>
      <c r="AB193" s="1297"/>
      <c r="AC193" s="1297"/>
      <c r="AD193" s="1297"/>
      <c r="AE193" s="1300"/>
      <c r="AF193" s="1300"/>
      <c r="AG193" s="1300"/>
      <c r="AH193" s="1297" t="s">
        <v>104</v>
      </c>
      <c r="AI193" s="1297"/>
      <c r="AJ193" s="1297"/>
      <c r="AK193" s="1297"/>
      <c r="AL193" s="1301"/>
      <c r="AM193" s="1301"/>
      <c r="AN193" s="1301"/>
      <c r="AO193" s="1301"/>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302"/>
      <c r="D194" s="1302"/>
      <c r="E194" s="34"/>
      <c r="F194" s="1303"/>
      <c r="G194" s="1303"/>
      <c r="H194" s="1304" t="s">
        <v>259</v>
      </c>
      <c r="I194" s="1305" t="str">
        <f>AVERAGE(I188:I192)</f>
        <v>#DIV/0!</v>
      </c>
      <c r="J194" s="482"/>
      <c r="K194" s="483"/>
      <c r="L194" s="1306" t="s">
        <v>272</v>
      </c>
      <c r="M194" s="1306"/>
      <c r="N194" s="34"/>
      <c r="O194" s="1307" t="s">
        <v>273</v>
      </c>
      <c r="P194" s="467"/>
      <c r="Q194" s="467"/>
      <c r="R194" s="467"/>
      <c r="S194" s="467"/>
      <c r="T194" s="467"/>
      <c r="U194" s="467"/>
      <c r="V194" s="467"/>
      <c r="W194" s="467"/>
      <c r="X194" s="467"/>
      <c r="Y194" s="467"/>
      <c r="Z194" s="467"/>
      <c r="AA194" s="467"/>
      <c r="AB194" s="467"/>
      <c r="AC194" s="467"/>
      <c r="AD194" s="467"/>
      <c r="AE194" s="467"/>
      <c r="AF194" s="467"/>
      <c r="AG194" s="695"/>
      <c r="AH194" s="1304" t="s">
        <v>259</v>
      </c>
      <c r="AL194" s="1308"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274</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275</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276</v>
      </c>
      <c r="D197" s="709"/>
      <c r="E197" s="710" t="str">
        <f>MIN(AL188:AL192)</f>
        <v>#DIV/0!</v>
      </c>
      <c r="F197" s="85"/>
      <c r="G197" s="85"/>
      <c r="H197" s="86"/>
      <c r="I197" s="711" t="s">
        <v>277</v>
      </c>
      <c r="J197" s="711"/>
      <c r="K197" s="712"/>
      <c r="L197" s="713"/>
      <c r="M197" s="713"/>
      <c r="N197" s="713"/>
      <c r="O197" s="701"/>
      <c r="P197" s="701"/>
      <c r="Q197" s="703"/>
      <c r="R197" s="714"/>
      <c r="S197" s="703"/>
      <c r="T197" s="715"/>
      <c r="U197" s="715"/>
      <c r="V197" s="715"/>
      <c r="W197" s="715"/>
      <c r="X197" s="715"/>
      <c r="Y197" s="716" t="s">
        <v>278</v>
      </c>
      <c r="Z197" s="717" t="str">
        <f>AL194</f>
        <v>#DIV/0!</v>
      </c>
      <c r="AA197" s="85"/>
      <c r="AB197" s="85"/>
      <c r="AC197" s="85"/>
      <c r="AD197" s="86"/>
      <c r="AE197" s="711" t="s">
        <v>277</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259</v>
      </c>
      <c r="D198" s="709"/>
      <c r="E198" s="710" t="str">
        <f>AL194</f>
        <v>#DIV/0!</v>
      </c>
      <c r="F198" s="85"/>
      <c r="G198" s="85"/>
      <c r="H198" s="86"/>
      <c r="I198" s="711" t="s">
        <v>277</v>
      </c>
      <c r="J198" s="711"/>
      <c r="K198" s="712"/>
      <c r="L198" s="713"/>
      <c r="M198" s="713"/>
      <c r="N198" s="713"/>
      <c r="O198" s="701"/>
      <c r="P198" s="701"/>
      <c r="Q198" s="703"/>
      <c r="R198" s="714"/>
      <c r="S198" s="703"/>
      <c r="T198" s="715"/>
      <c r="U198" s="715"/>
      <c r="V198" s="715"/>
      <c r="W198" s="715"/>
      <c r="X198" s="715"/>
      <c r="Y198" s="716" t="s">
        <v>280</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281</v>
      </c>
      <c r="D199" s="709"/>
      <c r="E199" s="728" t="str">
        <f>MAX(AL188:AL192)</f>
        <v>#DIV/0!</v>
      </c>
      <c r="F199" s="85"/>
      <c r="G199" s="85"/>
      <c r="H199" s="86"/>
      <c r="I199" s="711" t="s">
        <v>277</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282</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283</v>
      </c>
      <c r="D202" s="733"/>
      <c r="E202" s="124"/>
      <c r="F202" s="699"/>
      <c r="G202" s="699"/>
      <c r="H202" s="698"/>
      <c r="I202" s="698"/>
      <c r="J202" s="698"/>
      <c r="K202" s="698"/>
      <c r="L202" s="699"/>
      <c r="M202" s="699"/>
      <c r="N202" s="699"/>
      <c r="O202" s="699"/>
      <c r="P202" s="699"/>
      <c r="Q202" s="734" t="s">
        <v>259</v>
      </c>
      <c r="R202" s="699"/>
      <c r="S202" s="698"/>
      <c r="T202" s="735" t="s">
        <v>284</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285</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286</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287</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288</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220</v>
      </c>
      <c r="P212" s="494"/>
      <c r="V212" s="118" t="s">
        <v>289</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220</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222</v>
      </c>
      <c r="R214" s="493"/>
      <c r="T214" s="493"/>
      <c r="U214" s="493"/>
      <c r="V214" s="493"/>
      <c r="W214" s="493"/>
      <c r="X214" s="90" t="s">
        <v>223</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290</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232</v>
      </c>
      <c r="D218" s="85"/>
      <c r="E218" s="85"/>
      <c r="F218" s="85"/>
      <c r="G218" s="86"/>
      <c r="H218" s="510" t="s">
        <v>233</v>
      </c>
      <c r="I218" s="85"/>
      <c r="J218" s="85"/>
      <c r="K218" s="85"/>
      <c r="L218" s="85"/>
      <c r="M218" s="85"/>
      <c r="N218" s="86"/>
      <c r="O218" s="510" t="s">
        <v>234</v>
      </c>
      <c r="P218" s="85"/>
      <c r="Q218" s="85"/>
      <c r="R218" s="85"/>
      <c r="S218" s="85"/>
      <c r="T218" s="86"/>
      <c r="U218" s="510" t="s">
        <v>235</v>
      </c>
      <c r="V218" s="86"/>
      <c r="W218" s="510" t="s">
        <v>236</v>
      </c>
      <c r="X218" s="85"/>
      <c r="Y218" s="85"/>
      <c r="Z218" s="85"/>
      <c r="AA218" s="85"/>
      <c r="AB218" s="85"/>
      <c r="AC218" s="85"/>
      <c r="AD218" s="85"/>
      <c r="AE218" s="85"/>
      <c r="AF218" s="85"/>
      <c r="AG218" s="85"/>
      <c r="AH218" s="85"/>
      <c r="AI218" s="86"/>
      <c r="AJ218" s="510" t="s">
        <v>237</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12" t="str">
        <f>E8</f>
        <v/>
      </c>
      <c r="D219" s="85"/>
      <c r="E219" s="85"/>
      <c r="F219" s="85"/>
      <c r="G219" s="86"/>
      <c r="H219" s="1218" t="str">
        <f>UPPER(Mercado!F47)</f>
        <v/>
      </c>
      <c r="I219" s="85"/>
      <c r="J219" s="85"/>
      <c r="K219" s="85"/>
      <c r="L219" s="85"/>
      <c r="M219" s="85"/>
      <c r="N219" s="86"/>
      <c r="O219" s="1219" t="str">
        <f>UPPER(Mercado!E47)</f>
        <v/>
      </c>
      <c r="P219" s="85"/>
      <c r="Q219" s="85"/>
      <c r="R219" s="85"/>
      <c r="S219" s="85"/>
      <c r="T219" s="86"/>
      <c r="U219" s="1309" t="str">
        <f>+Mercado!O47</f>
        <v/>
      </c>
      <c r="V219" s="86"/>
      <c r="W219" s="1221" t="str">
        <f>PROPER(Mercado!G47)</f>
        <v/>
      </c>
      <c r="X219" s="85"/>
      <c r="Y219" s="85"/>
      <c r="Z219" s="85"/>
      <c r="AA219" s="85"/>
      <c r="AB219" s="85"/>
      <c r="AC219" s="85"/>
      <c r="AD219" s="85"/>
      <c r="AE219" s="85"/>
      <c r="AF219" s="85"/>
      <c r="AG219" s="85"/>
      <c r="AH219" s="85"/>
      <c r="AI219" s="86"/>
      <c r="AJ219" s="1222"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12" t="str">
        <f t="shared" ref="C220:C223" si="49">C219</f>
        <v/>
      </c>
      <c r="D220" s="85"/>
      <c r="E220" s="85"/>
      <c r="F220" s="85"/>
      <c r="G220" s="86"/>
      <c r="H220" s="1218" t="str">
        <f>UPPER(Mercado!F48)</f>
        <v/>
      </c>
      <c r="I220" s="85"/>
      <c r="J220" s="85"/>
      <c r="K220" s="85"/>
      <c r="L220" s="85"/>
      <c r="M220" s="85"/>
      <c r="N220" s="86"/>
      <c r="O220" s="1219" t="str">
        <f>UPPER(Mercado!E48)</f>
        <v/>
      </c>
      <c r="P220" s="85"/>
      <c r="Q220" s="85"/>
      <c r="R220" s="85"/>
      <c r="S220" s="85"/>
      <c r="T220" s="86"/>
      <c r="U220" s="1309" t="str">
        <f>+Mercado!O48</f>
        <v/>
      </c>
      <c r="V220" s="86"/>
      <c r="W220" s="1221" t="str">
        <f>PROPER(Mercado!G48)</f>
        <v/>
      </c>
      <c r="X220" s="85"/>
      <c r="Y220" s="85"/>
      <c r="Z220" s="85"/>
      <c r="AA220" s="85"/>
      <c r="AB220" s="85"/>
      <c r="AC220" s="85"/>
      <c r="AD220" s="85"/>
      <c r="AE220" s="85"/>
      <c r="AF220" s="85"/>
      <c r="AG220" s="85"/>
      <c r="AH220" s="85"/>
      <c r="AI220" s="86"/>
      <c r="AJ220" s="1222"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12" t="str">
        <f t="shared" si="49"/>
        <v/>
      </c>
      <c r="D221" s="85"/>
      <c r="E221" s="85"/>
      <c r="F221" s="85"/>
      <c r="G221" s="86"/>
      <c r="H221" s="1218" t="str">
        <f>UPPER(Mercado!F49)</f>
        <v/>
      </c>
      <c r="I221" s="85"/>
      <c r="J221" s="85"/>
      <c r="K221" s="85"/>
      <c r="L221" s="85"/>
      <c r="M221" s="85"/>
      <c r="N221" s="86"/>
      <c r="O221" s="1219" t="str">
        <f>UPPER(Mercado!E49)</f>
        <v/>
      </c>
      <c r="P221" s="85"/>
      <c r="Q221" s="85"/>
      <c r="R221" s="85"/>
      <c r="S221" s="85"/>
      <c r="T221" s="86"/>
      <c r="U221" s="1309" t="str">
        <f>+Mercado!O49</f>
        <v/>
      </c>
      <c r="V221" s="86"/>
      <c r="W221" s="1221" t="str">
        <f>PROPER(Mercado!G49)</f>
        <v/>
      </c>
      <c r="X221" s="85"/>
      <c r="Y221" s="85"/>
      <c r="Z221" s="85"/>
      <c r="AA221" s="85"/>
      <c r="AB221" s="85"/>
      <c r="AC221" s="85"/>
      <c r="AD221" s="85"/>
      <c r="AE221" s="85"/>
      <c r="AF221" s="85"/>
      <c r="AG221" s="85"/>
      <c r="AH221" s="85"/>
      <c r="AI221" s="86"/>
      <c r="AJ221" s="1222"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12" t="str">
        <f t="shared" si="49"/>
        <v/>
      </c>
      <c r="D222" s="85"/>
      <c r="E222" s="85"/>
      <c r="F222" s="85"/>
      <c r="G222" s="86"/>
      <c r="H222" s="1218" t="str">
        <f>UPPER(Mercado!F50)</f>
        <v/>
      </c>
      <c r="I222" s="85"/>
      <c r="J222" s="85"/>
      <c r="K222" s="85"/>
      <c r="L222" s="85"/>
      <c r="M222" s="85"/>
      <c r="N222" s="86"/>
      <c r="O222" s="1219" t="str">
        <f>UPPER(Mercado!E50)</f>
        <v/>
      </c>
      <c r="P222" s="85"/>
      <c r="Q222" s="85"/>
      <c r="R222" s="85"/>
      <c r="S222" s="85"/>
      <c r="T222" s="86"/>
      <c r="U222" s="1309" t="str">
        <f>+Mercado!O50</f>
        <v/>
      </c>
      <c r="V222" s="86"/>
      <c r="W222" s="1221" t="str">
        <f>PROPER(Mercado!G50)</f>
        <v/>
      </c>
      <c r="X222" s="85"/>
      <c r="Y222" s="85"/>
      <c r="Z222" s="85"/>
      <c r="AA222" s="85"/>
      <c r="AB222" s="85"/>
      <c r="AC222" s="85"/>
      <c r="AD222" s="85"/>
      <c r="AE222" s="85"/>
      <c r="AF222" s="85"/>
      <c r="AG222" s="85"/>
      <c r="AH222" s="85"/>
      <c r="AI222" s="86"/>
      <c r="AJ222" s="1222"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12" t="str">
        <f t="shared" si="49"/>
        <v/>
      </c>
      <c r="D223" s="85"/>
      <c r="E223" s="85"/>
      <c r="F223" s="85"/>
      <c r="G223" s="86"/>
      <c r="H223" s="1218" t="str">
        <f>UPPER(Mercado!F51)</f>
        <v/>
      </c>
      <c r="I223" s="85"/>
      <c r="J223" s="85"/>
      <c r="K223" s="85"/>
      <c r="L223" s="85"/>
      <c r="M223" s="85"/>
      <c r="N223" s="86"/>
      <c r="O223" s="1219" t="str">
        <f>UPPER(Mercado!E51)</f>
        <v/>
      </c>
      <c r="P223" s="85"/>
      <c r="Q223" s="85"/>
      <c r="R223" s="85"/>
      <c r="S223" s="85"/>
      <c r="T223" s="86"/>
      <c r="U223" s="1309" t="str">
        <f>+Mercado!O51</f>
        <v/>
      </c>
      <c r="V223" s="86"/>
      <c r="W223" s="1221" t="str">
        <f>PROPER(Mercado!G51)</f>
        <v/>
      </c>
      <c r="X223" s="85"/>
      <c r="Y223" s="85"/>
      <c r="Z223" s="85"/>
      <c r="AA223" s="85"/>
      <c r="AB223" s="85"/>
      <c r="AC223" s="85"/>
      <c r="AD223" s="85"/>
      <c r="AE223" s="85"/>
      <c r="AF223" s="85"/>
      <c r="AG223" s="85"/>
      <c r="AH223" s="85"/>
      <c r="AI223" s="86"/>
      <c r="AJ223" s="1222"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246</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247</v>
      </c>
      <c r="D226" s="85"/>
      <c r="E226" s="86"/>
      <c r="F226" s="746" t="s">
        <v>248</v>
      </c>
      <c r="G226" s="85"/>
      <c r="H226" s="86"/>
      <c r="I226" s="747" t="s">
        <v>249</v>
      </c>
      <c r="J226" s="85"/>
      <c r="K226" s="85"/>
      <c r="L226" s="86"/>
      <c r="M226" s="748" t="s">
        <v>250</v>
      </c>
      <c r="N226" s="85"/>
      <c r="O226" s="86"/>
      <c r="P226" s="746" t="s">
        <v>251</v>
      </c>
      <c r="Q226" s="86"/>
      <c r="R226" s="746" t="s">
        <v>252</v>
      </c>
      <c r="S226" s="85"/>
      <c r="T226" s="86"/>
      <c r="U226" s="749"/>
      <c r="V226" s="750"/>
      <c r="W226" s="747" t="s">
        <v>253</v>
      </c>
      <c r="X226" s="85"/>
      <c r="Y226" s="86"/>
      <c r="Z226" s="747" t="s">
        <v>254</v>
      </c>
      <c r="AA226" s="85"/>
      <c r="AB226" s="85"/>
      <c r="AC226" s="86"/>
      <c r="AD226" s="751" t="s">
        <v>255</v>
      </c>
      <c r="AE226" s="85"/>
      <c r="AF226" s="86"/>
      <c r="AG226" s="752" t="s">
        <v>256</v>
      </c>
      <c r="AH226" s="86"/>
      <c r="AI226" s="509" t="s">
        <v>257</v>
      </c>
      <c r="AJ226" s="85"/>
      <c r="AK226" s="86"/>
      <c r="AL226" s="748" t="s">
        <v>258</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10">
        <v>1.0</v>
      </c>
      <c r="B227" s="512"/>
      <c r="C227" s="1311" t="str">
        <f>Mercado!I47</f>
        <v/>
      </c>
      <c r="D227" s="567"/>
      <c r="E227" s="568"/>
      <c r="F227" s="1224" t="str">
        <f>Mercado!J47</f>
        <v/>
      </c>
      <c r="G227" s="567"/>
      <c r="H227" s="568"/>
      <c r="I227" s="1312" t="str">
        <f>Mercado!K47</f>
        <v/>
      </c>
      <c r="J227" s="567"/>
      <c r="K227" s="567"/>
      <c r="L227" s="512"/>
      <c r="M227" s="1226" t="str">
        <f t="shared" ref="M227:M231" si="50">I227/F227</f>
        <v>#DIV/0!</v>
      </c>
      <c r="N227" s="567"/>
      <c r="O227" s="512"/>
      <c r="P227" s="1227" t="str">
        <f t="shared" ref="P227:P231" si="51">+F227/C227</f>
        <v>#DIV/0!</v>
      </c>
      <c r="Q227" s="253"/>
      <c r="R227" s="1228" t="str">
        <f t="shared" ref="R227:R231" si="52">F227/$C$111</f>
        <v>#DIV/0!</v>
      </c>
      <c r="S227" s="567"/>
      <c r="T227" s="512"/>
      <c r="U227" s="1229"/>
      <c r="V227" s="1230"/>
      <c r="W227" s="1231" t="str">
        <f t="shared" ref="W227:W231" si="53">+F227/R227</f>
        <v>#DIV/0!</v>
      </c>
      <c r="X227" s="255"/>
      <c r="Y227" s="253"/>
      <c r="Z227" s="1231" t="str">
        <f t="shared" ref="Z227:Z231" si="54">+W227-C227</f>
        <v>#DIV/0!</v>
      </c>
      <c r="AA227" s="255"/>
      <c r="AB227" s="255"/>
      <c r="AC227" s="253"/>
      <c r="AD227" s="1232" t="str">
        <f>+AS227</f>
        <v/>
      </c>
      <c r="AE227" s="255"/>
      <c r="AF227" s="253"/>
      <c r="AG227" s="1233" t="str">
        <f t="shared" ref="AG227:AG231" si="55">+Z227*AD227</f>
        <v>#DIV/0!</v>
      </c>
      <c r="AH227" s="253"/>
      <c r="AI227" s="1234" t="str">
        <f t="shared" ref="AI227:AI231" si="56">+I227+AG227</f>
        <v>#DIV/0!</v>
      </c>
      <c r="AJ227" s="255"/>
      <c r="AK227" s="253"/>
      <c r="AL227" s="1235"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3">
        <v>2.0</v>
      </c>
      <c r="B228" s="524"/>
      <c r="C228" s="1236" t="str">
        <f>Mercado!I48</f>
        <v/>
      </c>
      <c r="D228" s="582"/>
      <c r="E228" s="583"/>
      <c r="F228" s="1237" t="str">
        <f>Mercado!J48</f>
        <v/>
      </c>
      <c r="G228" s="582"/>
      <c r="H228" s="583"/>
      <c r="I228" s="1225" t="str">
        <f>Mercado!K48</f>
        <v/>
      </c>
      <c r="J228" s="582"/>
      <c r="K228" s="582"/>
      <c r="L228" s="524"/>
      <c r="M228" s="1238" t="str">
        <f t="shared" si="50"/>
        <v>#DIV/0!</v>
      </c>
      <c r="N228" s="582"/>
      <c r="O228" s="524"/>
      <c r="P228" s="1239" t="str">
        <f t="shared" si="51"/>
        <v>#DIV/0!</v>
      </c>
      <c r="Q228" s="524"/>
      <c r="R228" s="1239" t="str">
        <f t="shared" si="52"/>
        <v>#DIV/0!</v>
      </c>
      <c r="S228" s="582"/>
      <c r="T228" s="524"/>
      <c r="U228" s="1229"/>
      <c r="V228" s="1230"/>
      <c r="W228" s="1240" t="str">
        <f t="shared" si="53"/>
        <v>#DIV/0!</v>
      </c>
      <c r="X228" s="582"/>
      <c r="Y228" s="524"/>
      <c r="Z228" s="1240" t="str">
        <f t="shared" si="54"/>
        <v>#DIV/0!</v>
      </c>
      <c r="AA228" s="582"/>
      <c r="AB228" s="582"/>
      <c r="AC228" s="524"/>
      <c r="AD228" s="1241" t="str">
        <f t="shared" ref="AD228:AD231" si="58">AD227</f>
        <v/>
      </c>
      <c r="AE228" s="582"/>
      <c r="AF228" s="524"/>
      <c r="AG228" s="1242" t="str">
        <f t="shared" si="55"/>
        <v>#DIV/0!</v>
      </c>
      <c r="AH228" s="524"/>
      <c r="AI228" s="1243" t="str">
        <f t="shared" si="56"/>
        <v>#DIV/0!</v>
      </c>
      <c r="AJ228" s="582"/>
      <c r="AK228" s="524"/>
      <c r="AL228" s="1244"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3">
        <v>3.0</v>
      </c>
      <c r="B229" s="524"/>
      <c r="C229" s="1236" t="str">
        <f>Mercado!I49</f>
        <v/>
      </c>
      <c r="D229" s="582"/>
      <c r="E229" s="583"/>
      <c r="F229" s="1237" t="str">
        <f>Mercado!J49</f>
        <v/>
      </c>
      <c r="G229" s="582"/>
      <c r="H229" s="583"/>
      <c r="I229" s="1225" t="str">
        <f>Mercado!K49</f>
        <v/>
      </c>
      <c r="J229" s="582"/>
      <c r="K229" s="582"/>
      <c r="L229" s="524"/>
      <c r="M229" s="1238" t="str">
        <f t="shared" si="50"/>
        <v>#DIV/0!</v>
      </c>
      <c r="N229" s="582"/>
      <c r="O229" s="524"/>
      <c r="P229" s="1239" t="str">
        <f t="shared" si="51"/>
        <v>#DIV/0!</v>
      </c>
      <c r="Q229" s="524"/>
      <c r="R229" s="1239" t="str">
        <f t="shared" si="52"/>
        <v>#DIV/0!</v>
      </c>
      <c r="S229" s="582"/>
      <c r="T229" s="524"/>
      <c r="U229" s="1229"/>
      <c r="V229" s="1230"/>
      <c r="W229" s="1240" t="str">
        <f t="shared" si="53"/>
        <v>#DIV/0!</v>
      </c>
      <c r="X229" s="582"/>
      <c r="Y229" s="524"/>
      <c r="Z229" s="1240" t="str">
        <f t="shared" si="54"/>
        <v>#DIV/0!</v>
      </c>
      <c r="AA229" s="582"/>
      <c r="AB229" s="582"/>
      <c r="AC229" s="524"/>
      <c r="AD229" s="1241" t="str">
        <f t="shared" si="58"/>
        <v/>
      </c>
      <c r="AE229" s="582"/>
      <c r="AF229" s="524"/>
      <c r="AG229" s="1242" t="str">
        <f t="shared" si="55"/>
        <v>#DIV/0!</v>
      </c>
      <c r="AH229" s="524"/>
      <c r="AI229" s="1243" t="str">
        <f t="shared" si="56"/>
        <v>#DIV/0!</v>
      </c>
      <c r="AJ229" s="582"/>
      <c r="AK229" s="524"/>
      <c r="AL229" s="1244"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3">
        <v>4.0</v>
      </c>
      <c r="B230" s="524"/>
      <c r="C230" s="1236" t="str">
        <f>Mercado!I50</f>
        <v/>
      </c>
      <c r="D230" s="582"/>
      <c r="E230" s="583"/>
      <c r="F230" s="1237" t="str">
        <f>Mercado!J50</f>
        <v/>
      </c>
      <c r="G230" s="582"/>
      <c r="H230" s="583"/>
      <c r="I230" s="1225" t="str">
        <f>Mercado!K50</f>
        <v/>
      </c>
      <c r="J230" s="582"/>
      <c r="K230" s="582"/>
      <c r="L230" s="524"/>
      <c r="M230" s="1238" t="str">
        <f t="shared" si="50"/>
        <v>#DIV/0!</v>
      </c>
      <c r="N230" s="582"/>
      <c r="O230" s="524"/>
      <c r="P230" s="1239" t="str">
        <f t="shared" si="51"/>
        <v>#DIV/0!</v>
      </c>
      <c r="Q230" s="524"/>
      <c r="R230" s="1239" t="str">
        <f t="shared" si="52"/>
        <v>#DIV/0!</v>
      </c>
      <c r="S230" s="582"/>
      <c r="T230" s="524"/>
      <c r="U230" s="1229"/>
      <c r="V230" s="1230"/>
      <c r="W230" s="1240" t="str">
        <f t="shared" si="53"/>
        <v>#DIV/0!</v>
      </c>
      <c r="X230" s="582"/>
      <c r="Y230" s="524"/>
      <c r="Z230" s="1240" t="str">
        <f t="shared" si="54"/>
        <v>#DIV/0!</v>
      </c>
      <c r="AA230" s="582"/>
      <c r="AB230" s="582"/>
      <c r="AC230" s="524"/>
      <c r="AD230" s="1241" t="str">
        <f t="shared" si="58"/>
        <v/>
      </c>
      <c r="AE230" s="582"/>
      <c r="AF230" s="524"/>
      <c r="AG230" s="1242" t="str">
        <f t="shared" si="55"/>
        <v>#DIV/0!</v>
      </c>
      <c r="AH230" s="524"/>
      <c r="AI230" s="1243" t="str">
        <f t="shared" si="56"/>
        <v>#DIV/0!</v>
      </c>
      <c r="AJ230" s="582"/>
      <c r="AK230" s="524"/>
      <c r="AL230" s="1244"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4">
        <v>5.0</v>
      </c>
      <c r="B231" s="596"/>
      <c r="C231" s="1245" t="str">
        <f>Mercado!I51</f>
        <v/>
      </c>
      <c r="D231" s="598"/>
      <c r="E231" s="599"/>
      <c r="F231" s="1246" t="str">
        <f>Mercado!J51</f>
        <v/>
      </c>
      <c r="G231" s="598"/>
      <c r="H231" s="599"/>
      <c r="I231" s="1247" t="str">
        <f>Mercado!K51</f>
        <v/>
      </c>
      <c r="J231" s="598"/>
      <c r="K231" s="598"/>
      <c r="L231" s="602"/>
      <c r="M231" s="1248" t="str">
        <f t="shared" si="50"/>
        <v>#DIV/0!</v>
      </c>
      <c r="N231" s="604"/>
      <c r="O231" s="596"/>
      <c r="P231" s="1249" t="str">
        <f t="shared" si="51"/>
        <v>#DIV/0!</v>
      </c>
      <c r="Q231" s="596"/>
      <c r="R231" s="1249" t="str">
        <f t="shared" si="52"/>
        <v>#DIV/0!</v>
      </c>
      <c r="S231" s="604"/>
      <c r="T231" s="596"/>
      <c r="U231" s="1250"/>
      <c r="V231" s="1251"/>
      <c r="W231" s="1252" t="str">
        <f t="shared" si="53"/>
        <v>#DIV/0!</v>
      </c>
      <c r="X231" s="604"/>
      <c r="Y231" s="596"/>
      <c r="Z231" s="1252" t="str">
        <f t="shared" si="54"/>
        <v>#DIV/0!</v>
      </c>
      <c r="AA231" s="604"/>
      <c r="AB231" s="604"/>
      <c r="AC231" s="596"/>
      <c r="AD231" s="1253" t="str">
        <f t="shared" si="58"/>
        <v/>
      </c>
      <c r="AE231" s="604"/>
      <c r="AF231" s="596"/>
      <c r="AG231" s="1254" t="str">
        <f t="shared" si="55"/>
        <v>#DIV/0!</v>
      </c>
      <c r="AH231" s="596"/>
      <c r="AI231" s="1255" t="str">
        <f t="shared" si="56"/>
        <v>#DIV/0!</v>
      </c>
      <c r="AJ231" s="604"/>
      <c r="AK231" s="596"/>
      <c r="AL231" s="1256"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5" t="s">
        <v>104</v>
      </c>
      <c r="F232" s="1315" t="s">
        <v>104</v>
      </c>
      <c r="I232" s="1315"/>
      <c r="M232" s="1315"/>
      <c r="N232" s="1316"/>
      <c r="P232" s="1317"/>
      <c r="R232" s="720"/>
      <c r="U232" s="1318"/>
      <c r="V232" s="1318"/>
      <c r="W232" s="720"/>
      <c r="Z232" s="720"/>
      <c r="AD232" s="1319"/>
      <c r="AG232" s="1320"/>
      <c r="AI232" s="1321"/>
      <c r="AL232" s="1322"/>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3"/>
      <c r="D233" s="1323"/>
      <c r="E233" s="720"/>
      <c r="F233" s="1324"/>
      <c r="G233" s="1324"/>
      <c r="H233" s="720"/>
      <c r="I233" s="1324"/>
      <c r="J233" s="1325"/>
      <c r="K233" s="1325"/>
      <c r="L233" s="1326" t="s">
        <v>259</v>
      </c>
      <c r="M233" s="1327" t="str">
        <f>AVERAGE(M227:M231)</f>
        <v>#DIV/0!</v>
      </c>
      <c r="N233" s="482"/>
      <c r="O233" s="483"/>
      <c r="P233" s="1325"/>
      <c r="Q233" s="720"/>
      <c r="R233" s="720"/>
      <c r="S233" s="1325"/>
      <c r="T233" s="720"/>
      <c r="U233" s="720"/>
      <c r="V233" s="720"/>
      <c r="W233" s="720"/>
      <c r="X233" s="1325"/>
      <c r="Y233" s="720"/>
      <c r="Z233" s="720"/>
      <c r="AA233" s="1325"/>
      <c r="AB233" s="1325"/>
      <c r="AC233" s="1325"/>
      <c r="AD233" s="1325"/>
      <c r="AE233" s="1325"/>
      <c r="AF233" s="1325"/>
      <c r="AG233" s="1325"/>
      <c r="AH233" s="1320"/>
      <c r="AI233" s="1320"/>
      <c r="AJ233" s="1326" t="s">
        <v>260</v>
      </c>
      <c r="AK233" s="1328"/>
      <c r="AL233" s="1329"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30" t="s">
        <v>263</v>
      </c>
      <c r="B235" s="1330"/>
      <c r="C235" s="1330"/>
      <c r="D235" s="1330"/>
      <c r="E235" s="1330"/>
      <c r="F235" s="1330"/>
      <c r="G235" s="1330"/>
      <c r="H235" s="1330"/>
      <c r="I235" s="1330"/>
      <c r="J235" s="1331"/>
      <c r="K235" s="720"/>
      <c r="L235" s="1332" t="s">
        <v>264</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31"/>
      <c r="AL235" s="1331"/>
      <c r="AM235" s="1331"/>
      <c r="AN235" s="1331"/>
      <c r="AO235" s="720"/>
      <c r="AP235" s="31"/>
      <c r="AQ235" s="31"/>
      <c r="AR235" s="31"/>
      <c r="AS235" s="31"/>
      <c r="AT235" s="31"/>
      <c r="AU235" s="31"/>
      <c r="AV235" s="635" t="s">
        <v>265</v>
      </c>
      <c r="AW235" s="636" t="s">
        <v>266</v>
      </c>
      <c r="AX235" s="637"/>
      <c r="AY235" s="636" t="s">
        <v>267</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3"/>
      <c r="B236" s="86"/>
      <c r="C236" s="557" t="s">
        <v>247</v>
      </c>
      <c r="D236" s="85"/>
      <c r="E236" s="86"/>
      <c r="F236" s="557" t="s">
        <v>248</v>
      </c>
      <c r="G236" s="85"/>
      <c r="H236" s="86"/>
      <c r="I236" s="638" t="s">
        <v>250</v>
      </c>
      <c r="J236" s="85"/>
      <c r="K236" s="86"/>
      <c r="L236" s="639" t="s">
        <v>162</v>
      </c>
      <c r="M236" s="85"/>
      <c r="N236" s="639" t="s">
        <v>163</v>
      </c>
      <c r="O236" s="85"/>
      <c r="P236" s="86"/>
      <c r="Q236" s="639" t="s">
        <v>268</v>
      </c>
      <c r="R236" s="85"/>
      <c r="S236" s="86"/>
      <c r="T236" s="639" t="s">
        <v>166</v>
      </c>
      <c r="U236" s="85"/>
      <c r="V236" s="85"/>
      <c r="W236" s="85"/>
      <c r="X236" s="86"/>
      <c r="Y236" s="639" t="s">
        <v>129</v>
      </c>
      <c r="Z236" s="85"/>
      <c r="AA236" s="86"/>
      <c r="AB236" s="639" t="s">
        <v>180</v>
      </c>
      <c r="AC236" s="85"/>
      <c r="AD236" s="86"/>
      <c r="AE236" s="639" t="s">
        <v>167</v>
      </c>
      <c r="AF236" s="85"/>
      <c r="AG236" s="86"/>
      <c r="AH236" s="639" t="s">
        <v>269</v>
      </c>
      <c r="AI236" s="85"/>
      <c r="AJ236" s="85"/>
      <c r="AK236" s="86"/>
      <c r="AL236" s="638" t="s">
        <v>270</v>
      </c>
      <c r="AM236" s="85"/>
      <c r="AN236" s="85"/>
      <c r="AO236" s="86"/>
      <c r="AP236" s="259"/>
      <c r="AQ236" s="31"/>
      <c r="AR236" s="783"/>
      <c r="AS236" s="31"/>
      <c r="AT236" s="786" t="s">
        <v>268</v>
      </c>
      <c r="AU236" s="64" t="s">
        <v>271</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4">
        <v>1.0</v>
      </c>
      <c r="B237" s="512"/>
      <c r="C237" s="1335" t="str">
        <f t="shared" ref="C237:C241" si="59">+C227</f>
        <v/>
      </c>
      <c r="D237" s="255"/>
      <c r="E237" s="253"/>
      <c r="F237" s="1335" t="str">
        <f t="shared" ref="F237:F241" si="60">+F227</f>
        <v/>
      </c>
      <c r="G237" s="255"/>
      <c r="H237" s="253"/>
      <c r="I237" s="1273" t="str">
        <f>+Mercado!L47</f>
        <v>#DIV/0!</v>
      </c>
      <c r="J237" s="255"/>
      <c r="K237" s="253"/>
      <c r="L237" s="1276">
        <v>1.0</v>
      </c>
      <c r="M237" s="567"/>
      <c r="N237" s="1276">
        <v>1.0</v>
      </c>
      <c r="O237" s="567"/>
      <c r="P237" s="512"/>
      <c r="Q237" s="1275" t="str">
        <f t="shared" ref="Q237:Q241" si="61">+AT237</f>
        <v>#DIV/0!</v>
      </c>
      <c r="R237" s="255"/>
      <c r="S237" s="253"/>
      <c r="T237" s="1275" t="str">
        <f t="shared" ref="T237:T241" si="62">+AU237</f>
        <v>#DIV/0!</v>
      </c>
      <c r="U237" s="255"/>
      <c r="V237" s="255"/>
      <c r="W237" s="255"/>
      <c r="X237" s="253"/>
      <c r="Y237" s="1276">
        <f t="shared" ref="Y237:Y241" si="63">+$AZ$187/AW237</f>
        <v>0.58</v>
      </c>
      <c r="Z237" s="567"/>
      <c r="AA237" s="512"/>
      <c r="AB237" s="1276">
        <v>1.0</v>
      </c>
      <c r="AC237" s="567"/>
      <c r="AD237" s="512"/>
      <c r="AE237" s="1336">
        <v>0.95</v>
      </c>
      <c r="AF237" s="255"/>
      <c r="AG237" s="253"/>
      <c r="AH237" s="1276" t="str">
        <f t="shared" ref="AH237:AH241" si="64">ROUND(L237*N237*Q237*T237*Y237*AB237*AE237,2)</f>
        <v>#DIV/0!</v>
      </c>
      <c r="AI237" s="567"/>
      <c r="AJ237" s="567"/>
      <c r="AK237" s="512"/>
      <c r="AL237" s="1278"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7">
        <f>VLOOKUP(Mercado!O47,'catalogo 2'!$A$143:$C$185,3)/100 </f>
        <v>1</v>
      </c>
      <c r="AX237" s="33"/>
      <c r="AY237" s="656">
        <f>VLOOKUP(Mercado!O47,'catalogo 2'!$A$2:$C$7,3)/100 </f>
        <v>1</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8">
        <v>2.0</v>
      </c>
      <c r="B238" s="524"/>
      <c r="C238" s="1339" t="str">
        <f t="shared" si="59"/>
        <v/>
      </c>
      <c r="D238" s="582"/>
      <c r="E238" s="524"/>
      <c r="F238" s="1339" t="str">
        <f t="shared" si="60"/>
        <v/>
      </c>
      <c r="G238" s="582"/>
      <c r="H238" s="524"/>
      <c r="I238" s="1280" t="str">
        <f>+Mercado!L48</f>
        <v>#DIV/0!</v>
      </c>
      <c r="J238" s="582"/>
      <c r="K238" s="524"/>
      <c r="L238" s="1281">
        <v>1.0</v>
      </c>
      <c r="M238" s="582"/>
      <c r="N238" s="1281">
        <v>1.0</v>
      </c>
      <c r="O238" s="582"/>
      <c r="P238" s="524"/>
      <c r="Q238" s="1281" t="str">
        <f t="shared" si="61"/>
        <v>#DIV/0!</v>
      </c>
      <c r="R238" s="582"/>
      <c r="S238" s="524"/>
      <c r="T238" s="1282" t="str">
        <f t="shared" si="62"/>
        <v>#DIV/0!</v>
      </c>
      <c r="U238" s="661"/>
      <c r="V238" s="661"/>
      <c r="W238" s="661"/>
      <c r="X238" s="662"/>
      <c r="Y238" s="1281">
        <f t="shared" si="63"/>
        <v>0.58</v>
      </c>
      <c r="Z238" s="582"/>
      <c r="AA238" s="524"/>
      <c r="AB238" s="1287">
        <v>0.85</v>
      </c>
      <c r="AC238" s="664"/>
      <c r="AD238" s="665"/>
      <c r="AE238" s="1340">
        <f t="shared" ref="AE238:AE241" si="67">+AE237</f>
        <v>0.95</v>
      </c>
      <c r="AF238" s="582"/>
      <c r="AG238" s="524"/>
      <c r="AH238" s="1281" t="str">
        <f t="shared" si="64"/>
        <v>#DIV/0!</v>
      </c>
      <c r="AI238" s="582"/>
      <c r="AJ238" s="582"/>
      <c r="AK238" s="524"/>
      <c r="AL238" s="1285"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7">
        <f>VLOOKUP(Mercado!O48,'catalogo 2'!$A$143:$C$185,3)/100 </f>
        <v>1</v>
      </c>
      <c r="AX238" s="33"/>
      <c r="AY238" s="656">
        <f>VLOOKUP(Mercado!O48,'catalogo 2'!$A$2:$C$7,3)/100 </f>
        <v>1</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8">
        <v>3.0</v>
      </c>
      <c r="B239" s="524"/>
      <c r="C239" s="1339" t="str">
        <f t="shared" si="59"/>
        <v/>
      </c>
      <c r="D239" s="582"/>
      <c r="E239" s="524"/>
      <c r="F239" s="1339" t="str">
        <f t="shared" si="60"/>
        <v/>
      </c>
      <c r="G239" s="582"/>
      <c r="H239" s="524"/>
      <c r="I239" s="1280" t="str">
        <f>+Mercado!L49</f>
        <v>#DIV/0!</v>
      </c>
      <c r="J239" s="582"/>
      <c r="K239" s="524"/>
      <c r="L239" s="1286">
        <v>0.85</v>
      </c>
      <c r="M239" s="582"/>
      <c r="N239" s="1281">
        <v>1.0</v>
      </c>
      <c r="O239" s="582"/>
      <c r="P239" s="524"/>
      <c r="Q239" s="1281" t="str">
        <f t="shared" si="61"/>
        <v>#DIV/0!</v>
      </c>
      <c r="R239" s="582"/>
      <c r="S239" s="524"/>
      <c r="T239" s="1282" t="str">
        <f t="shared" si="62"/>
        <v>#DIV/0!</v>
      </c>
      <c r="U239" s="661"/>
      <c r="V239" s="661"/>
      <c r="W239" s="661"/>
      <c r="X239" s="662"/>
      <c r="Y239" s="1281">
        <f t="shared" si="63"/>
        <v>0.58</v>
      </c>
      <c r="Z239" s="582"/>
      <c r="AA239" s="524"/>
      <c r="AB239" s="1286">
        <v>0.85</v>
      </c>
      <c r="AC239" s="582"/>
      <c r="AD239" s="524"/>
      <c r="AE239" s="1340">
        <f t="shared" si="67"/>
        <v>0.95</v>
      </c>
      <c r="AF239" s="582"/>
      <c r="AG239" s="524"/>
      <c r="AH239" s="1281" t="str">
        <f t="shared" si="64"/>
        <v>#DIV/0!</v>
      </c>
      <c r="AI239" s="582"/>
      <c r="AJ239" s="582"/>
      <c r="AK239" s="524"/>
      <c r="AL239" s="1285" t="str">
        <f t="shared" si="65"/>
        <v>#DIV/0!</v>
      </c>
      <c r="AM239" s="582"/>
      <c r="AN239" s="582"/>
      <c r="AO239" s="524"/>
      <c r="AP239" s="259"/>
      <c r="AQ239" s="31"/>
      <c r="AR239" s="783"/>
      <c r="AS239" s="31">
        <f t="shared" si="68"/>
        <v>10</v>
      </c>
      <c r="AT239" s="668" t="str">
        <f t="shared" si="69"/>
        <v>#DIV/0!</v>
      </c>
      <c r="AU239" s="668" t="str">
        <f t="shared" si="66"/>
        <v>#DIV/0!</v>
      </c>
      <c r="AV239" s="31"/>
      <c r="AW239" s="1337">
        <f>VLOOKUP(Mercado!O49,'catalogo 2'!$A$143:$C$185,3)/100 </f>
        <v>1</v>
      </c>
      <c r="AX239" s="33"/>
      <c r="AY239" s="656">
        <f>VLOOKUP(Mercado!O49,'catalogo 2'!$A$2:$C$7,3)/100 </f>
        <v>1</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8">
        <v>4.0</v>
      </c>
      <c r="B240" s="524"/>
      <c r="C240" s="1339" t="str">
        <f t="shared" si="59"/>
        <v/>
      </c>
      <c r="D240" s="582"/>
      <c r="E240" s="524"/>
      <c r="F240" s="1339" t="str">
        <f t="shared" si="60"/>
        <v/>
      </c>
      <c r="G240" s="582"/>
      <c r="H240" s="524"/>
      <c r="I240" s="1280" t="str">
        <f>+Mercado!L50</f>
        <v>#DIV/0!</v>
      </c>
      <c r="J240" s="582"/>
      <c r="K240" s="524"/>
      <c r="L240" s="1286">
        <v>0.85</v>
      </c>
      <c r="M240" s="582"/>
      <c r="N240" s="1281">
        <v>1.0</v>
      </c>
      <c r="O240" s="582"/>
      <c r="P240" s="524"/>
      <c r="Q240" s="1281" t="str">
        <f t="shared" si="61"/>
        <v>#DIV/0!</v>
      </c>
      <c r="R240" s="582"/>
      <c r="S240" s="524"/>
      <c r="T240" s="1282" t="str">
        <f t="shared" si="62"/>
        <v>#DIV/0!</v>
      </c>
      <c r="U240" s="661"/>
      <c r="V240" s="661"/>
      <c r="W240" s="661"/>
      <c r="X240" s="662"/>
      <c r="Y240" s="1281">
        <f t="shared" si="63"/>
        <v>0.58</v>
      </c>
      <c r="Z240" s="582"/>
      <c r="AA240" s="524"/>
      <c r="AB240" s="1286">
        <v>0.85</v>
      </c>
      <c r="AC240" s="582"/>
      <c r="AD240" s="524"/>
      <c r="AE240" s="1340">
        <f t="shared" si="67"/>
        <v>0.95</v>
      </c>
      <c r="AF240" s="582"/>
      <c r="AG240" s="524"/>
      <c r="AH240" s="1281" t="str">
        <f t="shared" si="64"/>
        <v>#DIV/0!</v>
      </c>
      <c r="AI240" s="582"/>
      <c r="AJ240" s="582"/>
      <c r="AK240" s="524"/>
      <c r="AL240" s="1285" t="str">
        <f t="shared" si="65"/>
        <v>#DIV/0!</v>
      </c>
      <c r="AM240" s="582"/>
      <c r="AN240" s="582"/>
      <c r="AO240" s="524"/>
      <c r="AP240" s="259"/>
      <c r="AQ240" s="31"/>
      <c r="AR240" s="783"/>
      <c r="AS240" s="31">
        <f t="shared" si="68"/>
        <v>10</v>
      </c>
      <c r="AT240" s="668" t="str">
        <f t="shared" si="69"/>
        <v>#DIV/0!</v>
      </c>
      <c r="AU240" s="668" t="str">
        <f t="shared" si="66"/>
        <v>#DIV/0!</v>
      </c>
      <c r="AV240" s="31"/>
      <c r="AW240" s="1337">
        <f>VLOOKUP(Mercado!O50,'catalogo 2'!$A$143:$C$185,3)/100 </f>
        <v>1</v>
      </c>
      <c r="AX240" s="33"/>
      <c r="AY240" s="656">
        <f>VLOOKUP(Mercado!O50,'catalogo 2'!$A$2:$C$7,3)/100 </f>
        <v>1</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41">
        <v>5.0</v>
      </c>
      <c r="B241" s="1342"/>
      <c r="C241" s="1343" t="str">
        <f t="shared" si="59"/>
        <v/>
      </c>
      <c r="D241" s="604"/>
      <c r="E241" s="596"/>
      <c r="F241" s="1343" t="str">
        <f t="shared" si="60"/>
        <v/>
      </c>
      <c r="G241" s="604"/>
      <c r="H241" s="596"/>
      <c r="I241" s="1344" t="str">
        <f>+Mercado!L51</f>
        <v>#DIV/0!</v>
      </c>
      <c r="K241" s="263"/>
      <c r="L241" s="1291">
        <v>0.85</v>
      </c>
      <c r="M241" s="596"/>
      <c r="N241" s="1292">
        <v>1.0</v>
      </c>
      <c r="O241" s="604"/>
      <c r="P241" s="596"/>
      <c r="Q241" s="1292" t="str">
        <f t="shared" si="61"/>
        <v>#DIV/0!</v>
      </c>
      <c r="R241" s="604"/>
      <c r="S241" s="596"/>
      <c r="T241" s="1292" t="str">
        <f t="shared" si="62"/>
        <v>#DIV/0!</v>
      </c>
      <c r="U241" s="604"/>
      <c r="V241" s="604"/>
      <c r="W241" s="604"/>
      <c r="X241" s="596"/>
      <c r="Y241" s="1292">
        <f t="shared" si="63"/>
        <v>0.58</v>
      </c>
      <c r="Z241" s="604"/>
      <c r="AA241" s="596"/>
      <c r="AB241" s="1291">
        <v>0.85</v>
      </c>
      <c r="AC241" s="604"/>
      <c r="AD241" s="596"/>
      <c r="AE241" s="1345">
        <f t="shared" si="67"/>
        <v>0.95</v>
      </c>
      <c r="AF241" s="604"/>
      <c r="AG241" s="596"/>
      <c r="AH241" s="1292" t="str">
        <f t="shared" si="64"/>
        <v>#DIV/0!</v>
      </c>
      <c r="AI241" s="604"/>
      <c r="AJ241" s="604"/>
      <c r="AK241" s="596"/>
      <c r="AL241" s="1294" t="str">
        <f t="shared" si="65"/>
        <v>#DIV/0!</v>
      </c>
      <c r="AM241" s="604"/>
      <c r="AN241" s="604"/>
      <c r="AO241" s="596"/>
      <c r="AP241" s="259"/>
      <c r="AQ241" s="31"/>
      <c r="AR241" s="783"/>
      <c r="AS241" s="31">
        <f t="shared" si="68"/>
        <v>10</v>
      </c>
      <c r="AT241" s="677" t="str">
        <f t="shared" si="69"/>
        <v>#DIV/0!</v>
      </c>
      <c r="AU241" s="677" t="str">
        <f t="shared" si="66"/>
        <v>#DIV/0!</v>
      </c>
      <c r="AV241" s="807"/>
      <c r="AW241" s="1337">
        <f>VLOOKUP(Mercado!O51,'catalogo 2'!$A$143:$C$185,3)/100 </f>
        <v>1</v>
      </c>
      <c r="AX241" s="679"/>
      <c r="AY241" s="656">
        <f>VLOOKUP(Mercado!O51,'catalogo 2'!$A$2:$C$7,3)/100 </f>
        <v>1</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6"/>
      <c r="B242" s="1346"/>
      <c r="C242" s="1302"/>
      <c r="D242" s="1302"/>
      <c r="E242" s="34"/>
      <c r="F242" s="1303"/>
      <c r="G242" s="1303"/>
      <c r="H242" s="1304" t="s">
        <v>259</v>
      </c>
      <c r="I242" s="1305" t="str">
        <f>AVERAGE(I237:I241)</f>
        <v>#DIV/0!</v>
      </c>
      <c r="J242" s="482"/>
      <c r="K242" s="483"/>
      <c r="L242" s="1306" t="s">
        <v>272</v>
      </c>
      <c r="M242" s="1306"/>
      <c r="N242" s="34"/>
      <c r="O242" s="1307" t="s">
        <v>273</v>
      </c>
      <c r="P242" s="467"/>
      <c r="Q242" s="467"/>
      <c r="R242" s="467"/>
      <c r="S242" s="467"/>
      <c r="T242" s="467"/>
      <c r="U242" s="467"/>
      <c r="V242" s="467"/>
      <c r="W242" s="467"/>
      <c r="X242" s="467"/>
      <c r="Y242" s="467"/>
      <c r="Z242" s="467"/>
      <c r="AA242" s="467"/>
      <c r="AB242" s="467"/>
      <c r="AC242" s="467"/>
      <c r="AD242" s="467"/>
      <c r="AE242" s="467"/>
      <c r="AF242" s="467"/>
      <c r="AG242" s="695"/>
      <c r="AH242" s="1304" t="s">
        <v>259</v>
      </c>
      <c r="AL242" s="1308"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6"/>
      <c r="B243" s="1346"/>
      <c r="C243" s="1347"/>
      <c r="D243" s="1347"/>
      <c r="E243" s="720"/>
      <c r="F243" s="1348"/>
      <c r="G243" s="1348"/>
      <c r="H243" s="1349"/>
      <c r="I243" s="1350"/>
      <c r="J243" s="1350"/>
      <c r="K243" s="1350"/>
      <c r="L243" s="1351"/>
      <c r="M243" s="1351"/>
      <c r="N243" s="720"/>
      <c r="O243" s="1352"/>
      <c r="P243" s="1352"/>
      <c r="Q243" s="1352"/>
      <c r="R243" s="1352"/>
      <c r="S243" s="1352"/>
      <c r="T243" s="1352"/>
      <c r="U243" s="1352"/>
      <c r="V243" s="1352"/>
      <c r="W243" s="1352"/>
      <c r="X243" s="1352"/>
      <c r="Y243" s="1352"/>
      <c r="Z243" s="1352"/>
      <c r="AA243" s="1352"/>
      <c r="AB243" s="1352"/>
      <c r="AC243" s="1352"/>
      <c r="AD243" s="1352"/>
      <c r="AE243" s="1352"/>
      <c r="AF243" s="1352"/>
      <c r="AG243" s="1352"/>
      <c r="AH243" s="1349"/>
      <c r="AI243" s="1349"/>
      <c r="AJ243" s="1349"/>
      <c r="AK243" s="1349"/>
      <c r="AL243" s="1353"/>
      <c r="AM243" s="1353"/>
      <c r="AN243" s="1353"/>
      <c r="AO243" s="1353"/>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30" t="s">
        <v>291</v>
      </c>
      <c r="B244" s="1330"/>
      <c r="C244" s="1330"/>
      <c r="D244" s="1330"/>
      <c r="E244" s="1330"/>
      <c r="F244" s="1330"/>
      <c r="G244" s="1330"/>
      <c r="H244" s="1330"/>
      <c r="I244" s="1330"/>
      <c r="J244" s="1331"/>
      <c r="K244" s="720"/>
      <c r="L244" s="1330"/>
      <c r="M244" s="1330"/>
      <c r="N244" s="1330"/>
      <c r="O244" s="1330"/>
      <c r="P244" s="1330"/>
      <c r="Q244" s="1330"/>
      <c r="R244" s="1330"/>
      <c r="S244" s="1330"/>
      <c r="T244" s="1330"/>
      <c r="U244" s="1330"/>
      <c r="V244" s="1330"/>
      <c r="W244" s="1330"/>
      <c r="X244" s="1330"/>
      <c r="Y244" s="1330"/>
      <c r="Z244" s="1330"/>
      <c r="AA244" s="1330"/>
      <c r="AB244" s="1330"/>
      <c r="AC244" s="1330"/>
      <c r="AD244" s="1330"/>
      <c r="AE244" s="1330"/>
      <c r="AF244" s="1330"/>
      <c r="AG244" s="1330"/>
      <c r="AH244" s="720"/>
      <c r="AI244" s="720"/>
      <c r="AJ244" s="720"/>
      <c r="AK244" s="1331"/>
      <c r="AL244" s="1331"/>
      <c r="AM244" s="1331"/>
      <c r="AN244" s="1331"/>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3"/>
      <c r="B245" s="86"/>
      <c r="C245" s="1354" t="s">
        <v>247</v>
      </c>
      <c r="D245" s="85"/>
      <c r="E245" s="86"/>
      <c r="F245" s="1354" t="s">
        <v>248</v>
      </c>
      <c r="G245" s="85"/>
      <c r="H245" s="86"/>
      <c r="I245" s="1355" t="s">
        <v>250</v>
      </c>
      <c r="J245" s="85"/>
      <c r="K245" s="86"/>
      <c r="L245" s="1356" t="s">
        <v>162</v>
      </c>
      <c r="M245" s="86"/>
      <c r="N245" s="639" t="s">
        <v>163</v>
      </c>
      <c r="O245" s="85"/>
      <c r="P245" s="86"/>
      <c r="Q245" s="1356" t="s">
        <v>268</v>
      </c>
      <c r="R245" s="85"/>
      <c r="S245" s="86"/>
      <c r="T245" s="1356" t="s">
        <v>166</v>
      </c>
      <c r="U245" s="85"/>
      <c r="V245" s="85"/>
      <c r="W245" s="85"/>
      <c r="X245" s="86"/>
      <c r="Y245" s="1356" t="s">
        <v>129</v>
      </c>
      <c r="Z245" s="85"/>
      <c r="AA245" s="86"/>
      <c r="AB245" s="1356" t="s">
        <v>180</v>
      </c>
      <c r="AC245" s="85"/>
      <c r="AD245" s="86"/>
      <c r="AE245" s="1356" t="s">
        <v>167</v>
      </c>
      <c r="AF245" s="85"/>
      <c r="AG245" s="86"/>
      <c r="AH245" s="1356" t="s">
        <v>269</v>
      </c>
      <c r="AI245" s="85"/>
      <c r="AJ245" s="85"/>
      <c r="AK245" s="86"/>
      <c r="AL245" s="1355" t="s">
        <v>270</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4">
        <v>1.0</v>
      </c>
      <c r="B246" s="512"/>
      <c r="C246" s="1335" t="str">
        <f t="shared" ref="C246:C250" si="70">+C237</f>
        <v/>
      </c>
      <c r="D246" s="255"/>
      <c r="E246" s="253"/>
      <c r="F246" s="1335" t="str">
        <f t="shared" ref="F246:F250" si="71">+F237</f>
        <v/>
      </c>
      <c r="G246" s="255"/>
      <c r="H246" s="253"/>
      <c r="I246" s="1357" t="str">
        <f>+Mercado!N47</f>
        <v>#DIV/0!</v>
      </c>
      <c r="J246" s="567"/>
      <c r="K246" s="512"/>
      <c r="L246" s="1276">
        <v>1.0</v>
      </c>
      <c r="M246" s="567"/>
      <c r="N246" s="1276">
        <v>1.0</v>
      </c>
      <c r="O246" s="567"/>
      <c r="P246" s="512"/>
      <c r="Q246" s="1275" t="str">
        <f t="shared" ref="Q246:Q250" si="72">+Q237</f>
        <v>#DIV/0!</v>
      </c>
      <c r="R246" s="255"/>
      <c r="S246" s="253"/>
      <c r="T246" s="1275" t="str">
        <f t="shared" ref="T246:T250" si="73">+T237</f>
        <v>#DIV/0!</v>
      </c>
      <c r="U246" s="255"/>
      <c r="V246" s="255"/>
      <c r="W246" s="255"/>
      <c r="X246" s="253"/>
      <c r="Y246" s="1276">
        <f t="shared" ref="Y246:Y250" si="74">+Y237</f>
        <v>0.58</v>
      </c>
      <c r="Z246" s="567"/>
      <c r="AA246" s="512"/>
      <c r="AB246" s="1276">
        <v>1.0</v>
      </c>
      <c r="AC246" s="567"/>
      <c r="AD246" s="512"/>
      <c r="AE246" s="1336">
        <v>0.95</v>
      </c>
      <c r="AF246" s="255"/>
      <c r="AG246" s="253"/>
      <c r="AH246" s="1276" t="str">
        <f t="shared" ref="AH246:AH250" si="75">ROUND(L246*N246*Q246*T246*Y246*AB246*AE246,2)</f>
        <v>#DIV/0!</v>
      </c>
      <c r="AI246" s="567"/>
      <c r="AJ246" s="567"/>
      <c r="AK246" s="512"/>
      <c r="AL246" s="1278"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8">
        <v>2.0</v>
      </c>
      <c r="B247" s="524"/>
      <c r="C247" s="1339" t="str">
        <f t="shared" si="70"/>
        <v/>
      </c>
      <c r="D247" s="582"/>
      <c r="E247" s="524"/>
      <c r="F247" s="1339" t="str">
        <f t="shared" si="71"/>
        <v/>
      </c>
      <c r="G247" s="582"/>
      <c r="H247" s="524"/>
      <c r="I247" s="1280" t="str">
        <f>+Mercado!N48</f>
        <v>#DIV/0!</v>
      </c>
      <c r="J247" s="582"/>
      <c r="K247" s="524"/>
      <c r="L247" s="1281">
        <v>1.0</v>
      </c>
      <c r="M247" s="582"/>
      <c r="N247" s="1281">
        <v>1.0</v>
      </c>
      <c r="O247" s="582"/>
      <c r="P247" s="524"/>
      <c r="Q247" s="1281" t="str">
        <f t="shared" si="72"/>
        <v>#DIV/0!</v>
      </c>
      <c r="R247" s="582"/>
      <c r="S247" s="524"/>
      <c r="T247" s="1282" t="str">
        <f t="shared" si="73"/>
        <v>#DIV/0!</v>
      </c>
      <c r="U247" s="661"/>
      <c r="V247" s="661"/>
      <c r="W247" s="661"/>
      <c r="X247" s="662"/>
      <c r="Y247" s="1281">
        <f t="shared" si="74"/>
        <v>0.58</v>
      </c>
      <c r="Z247" s="582"/>
      <c r="AA247" s="524"/>
      <c r="AB247" s="1287">
        <v>1.0</v>
      </c>
      <c r="AC247" s="664"/>
      <c r="AD247" s="665"/>
      <c r="AE247" s="1340">
        <f t="shared" ref="AE247:AE250" si="77">+AE246</f>
        <v>0.95</v>
      </c>
      <c r="AF247" s="582"/>
      <c r="AG247" s="524"/>
      <c r="AH247" s="1281" t="str">
        <f t="shared" si="75"/>
        <v>#DIV/0!</v>
      </c>
      <c r="AI247" s="582"/>
      <c r="AJ247" s="582"/>
      <c r="AK247" s="524"/>
      <c r="AL247" s="1285"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8">
        <v>3.0</v>
      </c>
      <c r="B248" s="524"/>
      <c r="C248" s="1339" t="str">
        <f t="shared" si="70"/>
        <v/>
      </c>
      <c r="D248" s="582"/>
      <c r="E248" s="524"/>
      <c r="F248" s="1339" t="str">
        <f t="shared" si="71"/>
        <v/>
      </c>
      <c r="G248" s="582"/>
      <c r="H248" s="524"/>
      <c r="I248" s="1280" t="str">
        <f>+Mercado!N49</f>
        <v>#DIV/0!</v>
      </c>
      <c r="J248" s="582"/>
      <c r="K248" s="524"/>
      <c r="L248" s="1286">
        <v>1.0</v>
      </c>
      <c r="M248" s="582"/>
      <c r="N248" s="1281">
        <v>1.0</v>
      </c>
      <c r="O248" s="582"/>
      <c r="P248" s="524"/>
      <c r="Q248" s="1281" t="str">
        <f t="shared" si="72"/>
        <v>#DIV/0!</v>
      </c>
      <c r="R248" s="582"/>
      <c r="S248" s="524"/>
      <c r="T248" s="1282" t="str">
        <f t="shared" si="73"/>
        <v>#DIV/0!</v>
      </c>
      <c r="U248" s="661"/>
      <c r="V248" s="661"/>
      <c r="W248" s="661"/>
      <c r="X248" s="662"/>
      <c r="Y248" s="1281">
        <f t="shared" si="74"/>
        <v>0.58</v>
      </c>
      <c r="Z248" s="582"/>
      <c r="AA248" s="524"/>
      <c r="AB248" s="1286">
        <v>1.0</v>
      </c>
      <c r="AC248" s="582"/>
      <c r="AD248" s="524"/>
      <c r="AE248" s="1340">
        <f t="shared" si="77"/>
        <v>0.95</v>
      </c>
      <c r="AF248" s="582"/>
      <c r="AG248" s="524"/>
      <c r="AH248" s="1281" t="str">
        <f t="shared" si="75"/>
        <v>#DIV/0!</v>
      </c>
      <c r="AI248" s="582"/>
      <c r="AJ248" s="582"/>
      <c r="AK248" s="524"/>
      <c r="AL248" s="1285"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8">
        <v>4.0</v>
      </c>
      <c r="B249" s="524"/>
      <c r="C249" s="1339" t="str">
        <f t="shared" si="70"/>
        <v/>
      </c>
      <c r="D249" s="582"/>
      <c r="E249" s="524"/>
      <c r="F249" s="1339" t="str">
        <f t="shared" si="71"/>
        <v/>
      </c>
      <c r="G249" s="582"/>
      <c r="H249" s="524"/>
      <c r="I249" s="1280" t="str">
        <f>+Mercado!N50</f>
        <v>#DIV/0!</v>
      </c>
      <c r="J249" s="582"/>
      <c r="K249" s="524"/>
      <c r="L249" s="1286">
        <v>1.0</v>
      </c>
      <c r="M249" s="582"/>
      <c r="N249" s="1281">
        <v>1.0</v>
      </c>
      <c r="O249" s="582"/>
      <c r="P249" s="524"/>
      <c r="Q249" s="1281" t="str">
        <f t="shared" si="72"/>
        <v>#DIV/0!</v>
      </c>
      <c r="R249" s="582"/>
      <c r="S249" s="524"/>
      <c r="T249" s="1282" t="str">
        <f t="shared" si="73"/>
        <v>#DIV/0!</v>
      </c>
      <c r="U249" s="661"/>
      <c r="V249" s="661"/>
      <c r="W249" s="661"/>
      <c r="X249" s="662"/>
      <c r="Y249" s="1281">
        <f t="shared" si="74"/>
        <v>0.58</v>
      </c>
      <c r="Z249" s="582"/>
      <c r="AA249" s="524"/>
      <c r="AB249" s="1286">
        <v>1.0</v>
      </c>
      <c r="AC249" s="582"/>
      <c r="AD249" s="524"/>
      <c r="AE249" s="1340">
        <f t="shared" si="77"/>
        <v>0.95</v>
      </c>
      <c r="AF249" s="582"/>
      <c r="AG249" s="524"/>
      <c r="AH249" s="1281" t="str">
        <f t="shared" si="75"/>
        <v>#DIV/0!</v>
      </c>
      <c r="AI249" s="582"/>
      <c r="AJ249" s="582"/>
      <c r="AK249" s="524"/>
      <c r="AL249" s="1285"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41">
        <v>5.0</v>
      </c>
      <c r="B250" s="1342"/>
      <c r="C250" s="1343" t="str">
        <f t="shared" si="70"/>
        <v/>
      </c>
      <c r="D250" s="604"/>
      <c r="E250" s="596"/>
      <c r="F250" s="1343" t="str">
        <f t="shared" si="71"/>
        <v/>
      </c>
      <c r="G250" s="604"/>
      <c r="H250" s="596"/>
      <c r="I250" s="1358" t="str">
        <f>+Mercado!N51</f>
        <v>#DIV/0!</v>
      </c>
      <c r="J250" s="661"/>
      <c r="K250" s="662"/>
      <c r="L250" s="1291">
        <v>1.0</v>
      </c>
      <c r="M250" s="596"/>
      <c r="N250" s="1292">
        <v>1.0</v>
      </c>
      <c r="O250" s="604"/>
      <c r="P250" s="596"/>
      <c r="Q250" s="1292" t="str">
        <f t="shared" si="72"/>
        <v>#DIV/0!</v>
      </c>
      <c r="R250" s="604"/>
      <c r="S250" s="596"/>
      <c r="T250" s="1292" t="str">
        <f t="shared" si="73"/>
        <v>#DIV/0!</v>
      </c>
      <c r="U250" s="604"/>
      <c r="V250" s="604"/>
      <c r="W250" s="604"/>
      <c r="X250" s="596"/>
      <c r="Y250" s="1292">
        <f t="shared" si="74"/>
        <v>0.58</v>
      </c>
      <c r="Z250" s="604"/>
      <c r="AA250" s="596"/>
      <c r="AB250" s="1291">
        <v>1.0</v>
      </c>
      <c r="AC250" s="604"/>
      <c r="AD250" s="596"/>
      <c r="AE250" s="1345">
        <f t="shared" si="77"/>
        <v>0.95</v>
      </c>
      <c r="AF250" s="604"/>
      <c r="AG250" s="596"/>
      <c r="AH250" s="1292" t="str">
        <f t="shared" si="75"/>
        <v>#DIV/0!</v>
      </c>
      <c r="AI250" s="604"/>
      <c r="AJ250" s="604"/>
      <c r="AK250" s="596"/>
      <c r="AL250" s="1294"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6"/>
      <c r="B251" s="1346"/>
      <c r="C251" s="1302"/>
      <c r="D251" s="1302"/>
      <c r="E251" s="34"/>
      <c r="F251" s="1303"/>
      <c r="G251" s="1303"/>
      <c r="H251" s="1304" t="s">
        <v>259</v>
      </c>
      <c r="I251" s="1305" t="str">
        <f>AVERAGE(I246:I250)</f>
        <v>#DIV/0!</v>
      </c>
      <c r="J251" s="482"/>
      <c r="K251" s="483"/>
      <c r="L251" s="1306" t="s">
        <v>272</v>
      </c>
      <c r="M251" s="1306"/>
      <c r="N251" s="34"/>
      <c r="O251" s="1307" t="s">
        <v>273</v>
      </c>
      <c r="P251" s="467"/>
      <c r="Q251" s="467"/>
      <c r="R251" s="467"/>
      <c r="S251" s="467"/>
      <c r="T251" s="467"/>
      <c r="U251" s="467"/>
      <c r="V251" s="467"/>
      <c r="W251" s="467"/>
      <c r="X251" s="467"/>
      <c r="Y251" s="467"/>
      <c r="Z251" s="467"/>
      <c r="AA251" s="467"/>
      <c r="AB251" s="467"/>
      <c r="AC251" s="467"/>
      <c r="AD251" s="467"/>
      <c r="AE251" s="467"/>
      <c r="AF251" s="467"/>
      <c r="AG251" s="695"/>
      <c r="AH251" s="1304" t="s">
        <v>259</v>
      </c>
      <c r="AL251" s="1308"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6"/>
      <c r="B252" s="1346"/>
      <c r="C252" s="1347"/>
      <c r="D252" s="1347"/>
      <c r="E252" s="720"/>
      <c r="F252" s="1348"/>
      <c r="G252" s="1348"/>
      <c r="H252" s="1349"/>
      <c r="I252" s="1350"/>
      <c r="J252" s="1350"/>
      <c r="K252" s="1350"/>
      <c r="L252" s="1351"/>
      <c r="M252" s="1351"/>
      <c r="N252" s="720"/>
      <c r="O252" s="1352"/>
      <c r="P252" s="1352"/>
      <c r="Q252" s="1352"/>
      <c r="R252" s="1352"/>
      <c r="S252" s="1352"/>
      <c r="T252" s="1352"/>
      <c r="U252" s="1352"/>
      <c r="V252" s="1352"/>
      <c r="W252" s="1352"/>
      <c r="X252" s="1352"/>
      <c r="Y252" s="1352"/>
      <c r="Z252" s="1352"/>
      <c r="AA252" s="1352"/>
      <c r="AB252" s="1352"/>
      <c r="AC252" s="1352"/>
      <c r="AD252" s="1352"/>
      <c r="AE252" s="1352"/>
      <c r="AF252" s="1352"/>
      <c r="AG252" s="1352"/>
      <c r="AH252" s="1349"/>
      <c r="AI252" s="1349"/>
      <c r="AJ252" s="1349"/>
      <c r="AK252" s="1349"/>
      <c r="AL252" s="1353"/>
      <c r="AM252" s="1353"/>
      <c r="AN252" s="1353"/>
      <c r="AO252" s="1353"/>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9" t="s">
        <v>274</v>
      </c>
      <c r="D253" s="1360"/>
      <c r="E253" s="1045"/>
      <c r="F253" s="1045"/>
      <c r="G253" s="1045"/>
      <c r="H253" s="1360"/>
      <c r="I253" s="1360"/>
      <c r="J253" s="1360"/>
      <c r="K253" s="1360"/>
      <c r="L253" s="1360"/>
      <c r="M253" s="1360"/>
      <c r="N253" s="1360"/>
      <c r="O253" s="1360"/>
      <c r="P253" s="1045"/>
      <c r="Q253" s="1045"/>
      <c r="R253" s="1045"/>
      <c r="S253" s="1045"/>
      <c r="T253" s="1045"/>
      <c r="U253" s="1045"/>
      <c r="V253" s="1045"/>
      <c r="W253" s="1045"/>
      <c r="X253" s="1045"/>
      <c r="Y253" s="1045"/>
      <c r="Z253" s="1045"/>
      <c r="AA253" s="1045"/>
      <c r="AB253" s="1045"/>
      <c r="AC253" s="1045"/>
      <c r="AD253" s="1045"/>
      <c r="AE253" s="1045"/>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61" t="s">
        <v>275</v>
      </c>
      <c r="D254" s="1361"/>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276</v>
      </c>
      <c r="D255" s="709"/>
      <c r="E255" s="1362" t="str">
        <f>MIN(AL246:AL250)</f>
        <v>#DIV/0!</v>
      </c>
      <c r="F255" s="85"/>
      <c r="G255" s="85"/>
      <c r="H255" s="86"/>
      <c r="I255" s="711" t="s">
        <v>277</v>
      </c>
      <c r="J255" s="711"/>
      <c r="K255" s="712"/>
      <c r="L255" s="712"/>
      <c r="M255" s="712"/>
      <c r="N255" s="712"/>
      <c r="O255" s="712"/>
      <c r="P255" s="712"/>
      <c r="Q255" s="715"/>
      <c r="R255" s="716"/>
      <c r="S255" s="715"/>
      <c r="T255" s="715"/>
      <c r="U255" s="715"/>
      <c r="V255" s="715"/>
      <c r="W255" s="715"/>
      <c r="X255" s="715"/>
      <c r="Y255" s="716" t="s">
        <v>278</v>
      </c>
      <c r="Z255" s="1363" t="str">
        <f>+AL251</f>
        <v>#DIV/0!</v>
      </c>
      <c r="AA255" s="85"/>
      <c r="AB255" s="85"/>
      <c r="AC255" s="85"/>
      <c r="AD255" s="86"/>
      <c r="AE255" s="711" t="s">
        <v>277</v>
      </c>
      <c r="AF255" s="715"/>
      <c r="AG255" s="715"/>
      <c r="AH255" s="715"/>
      <c r="AI255" s="715"/>
      <c r="AJ255" s="715"/>
      <c r="AK255" s="715"/>
      <c r="AL255" s="715"/>
      <c r="AM255" s="715"/>
      <c r="AN255" s="1364"/>
      <c r="AO255" s="1365"/>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259</v>
      </c>
      <c r="D256" s="709"/>
      <c r="E256" s="1362" t="str">
        <f>AL251</f>
        <v>#DIV/0!</v>
      </c>
      <c r="F256" s="85"/>
      <c r="G256" s="85"/>
      <c r="H256" s="86"/>
      <c r="I256" s="711" t="s">
        <v>277</v>
      </c>
      <c r="J256" s="711"/>
      <c r="K256" s="712"/>
      <c r="L256" s="712"/>
      <c r="M256" s="712"/>
      <c r="N256" s="712"/>
      <c r="O256" s="712"/>
      <c r="P256" s="712"/>
      <c r="Q256" s="715"/>
      <c r="R256" s="716"/>
      <c r="S256" s="715"/>
      <c r="T256" s="715"/>
      <c r="U256" s="715"/>
      <c r="V256" s="715"/>
      <c r="W256" s="715"/>
      <c r="X256" s="715"/>
      <c r="Y256" s="716" t="s">
        <v>280</v>
      </c>
      <c r="Z256" s="1366">
        <f>K123</f>
        <v>0</v>
      </c>
      <c r="AA256" s="85"/>
      <c r="AB256" s="85"/>
      <c r="AC256" s="85"/>
      <c r="AD256" s="86"/>
      <c r="AE256" s="712"/>
      <c r="AF256" s="715"/>
      <c r="AG256" s="715"/>
      <c r="AH256" s="715"/>
      <c r="AI256" s="715"/>
      <c r="AJ256" s="715"/>
      <c r="AK256" s="715"/>
      <c r="AL256" s="715"/>
      <c r="AM256" s="715"/>
      <c r="AN256" s="1364"/>
      <c r="AO256" s="1365"/>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281</v>
      </c>
      <c r="D257" s="709"/>
      <c r="E257" s="717" t="str">
        <f>MAX(AL246:AL250)</f>
        <v>#DIV/0!</v>
      </c>
      <c r="F257" s="85"/>
      <c r="G257" s="85"/>
      <c r="H257" s="86"/>
      <c r="I257" s="711" t="s">
        <v>277</v>
      </c>
      <c r="J257" s="711"/>
      <c r="K257" s="712"/>
      <c r="L257" s="712"/>
      <c r="M257" s="712"/>
      <c r="N257" s="712"/>
      <c r="O257" s="712"/>
      <c r="P257" s="712"/>
      <c r="Q257" s="712"/>
      <c r="R257" s="712"/>
      <c r="S257" s="1367"/>
      <c r="T257" s="1367"/>
      <c r="U257" s="1367"/>
      <c r="V257" s="1367"/>
      <c r="W257" s="1367"/>
      <c r="X257" s="1367"/>
      <c r="Y257" s="715"/>
      <c r="Z257" s="715"/>
      <c r="AA257" s="715"/>
      <c r="AB257" s="715"/>
      <c r="AC257" s="715"/>
      <c r="AD257" s="715"/>
      <c r="AE257" s="715"/>
      <c r="AF257" s="715"/>
      <c r="AG257" s="715"/>
      <c r="AH257" s="715"/>
      <c r="AI257" s="1368" t="s">
        <v>292</v>
      </c>
      <c r="AJ257" s="1369"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70" t="s">
        <v>293</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5"/>
      <c r="F259" s="1045"/>
      <c r="G259" s="1045"/>
      <c r="H259" s="1360"/>
      <c r="I259" s="1360"/>
      <c r="J259" s="1360"/>
      <c r="K259" s="1360"/>
      <c r="L259" s="1045"/>
      <c r="M259" s="1045"/>
      <c r="N259" s="1045"/>
      <c r="O259" s="1045"/>
      <c r="P259" s="1045"/>
      <c r="Q259" s="1045"/>
      <c r="R259" s="1045"/>
      <c r="S259" s="1360"/>
      <c r="T259" s="1045"/>
      <c r="U259" s="1045"/>
      <c r="V259" s="1045"/>
      <c r="W259" s="1045"/>
      <c r="X259" s="1045"/>
      <c r="Y259" s="1045"/>
      <c r="Z259" s="1045"/>
      <c r="AA259" s="1045"/>
      <c r="AB259" s="1045"/>
      <c r="AC259" s="1045"/>
      <c r="AD259" s="1045"/>
      <c r="AE259" s="1045"/>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71" t="s">
        <v>283</v>
      </c>
      <c r="D260" s="1371"/>
      <c r="E260" s="1045"/>
      <c r="F260" s="1045"/>
      <c r="G260" s="1045"/>
      <c r="H260" s="1360"/>
      <c r="I260" s="1360"/>
      <c r="J260" s="1360"/>
      <c r="K260" s="1360"/>
      <c r="L260" s="1045"/>
      <c r="M260" s="1045"/>
      <c r="N260" s="1045"/>
      <c r="O260" s="1045"/>
      <c r="P260" s="1045"/>
      <c r="Q260" s="1045"/>
      <c r="R260" s="1045"/>
      <c r="S260" s="1360"/>
      <c r="T260" s="735" t="s">
        <v>284</v>
      </c>
      <c r="U260" s="1045"/>
      <c r="V260" s="1045"/>
      <c r="W260" s="1045"/>
      <c r="X260" s="1045"/>
      <c r="Y260" s="1045"/>
      <c r="Z260" s="1045"/>
      <c r="AA260" s="1045"/>
      <c r="AB260" s="1045"/>
      <c r="AC260" s="720"/>
      <c r="AD260" s="738" t="s">
        <v>259</v>
      </c>
      <c r="AE260" s="1045"/>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60"/>
      <c r="B261" s="1360"/>
      <c r="C261" s="1360"/>
      <c r="D261" s="1360"/>
      <c r="E261" s="1045"/>
      <c r="F261" s="1045"/>
      <c r="G261" s="1045"/>
      <c r="H261" s="1360"/>
      <c r="I261" s="1360"/>
      <c r="J261" s="1360"/>
      <c r="K261" s="1360"/>
      <c r="L261" s="1045"/>
      <c r="M261" s="1045"/>
      <c r="N261" s="1045"/>
      <c r="O261" s="1045"/>
      <c r="P261" s="1045"/>
      <c r="Q261" s="1045"/>
      <c r="R261" s="1045"/>
      <c r="S261" s="1360"/>
      <c r="T261" s="1045"/>
      <c r="U261" s="1045"/>
      <c r="V261" s="1045"/>
      <c r="W261" s="1045"/>
      <c r="X261" s="1045"/>
      <c r="Y261" s="1045"/>
      <c r="Z261" s="1045"/>
      <c r="AA261" s="1045"/>
      <c r="AB261" s="1045"/>
      <c r="AC261" s="1045"/>
      <c r="AD261" s="1045"/>
      <c r="AE261" s="1045"/>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285</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286</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287</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72" t="s">
        <v>288</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220</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220</v>
      </c>
      <c r="P267" s="90" t="s">
        <v>222</v>
      </c>
      <c r="Q267" s="34"/>
      <c r="R267" s="493"/>
      <c r="T267" s="493"/>
      <c r="U267" s="493"/>
      <c r="V267" s="90" t="s">
        <v>223</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3" t="s">
        <v>289</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294</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
      </c>
      <c r="AD312" s="839" t="str">
        <f>VLOOKUP("15.jp*g",Fotos!$A$2:$E399,5,FALSE)</f>
        <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
      </c>
      <c r="N326" s="34"/>
      <c r="P326" s="839" t="str">
        <f>VLOOKUP("17.jp*g",Fotos!$A$2:$E399,5,FALSE)</f>
        <v/>
      </c>
      <c r="AD326" s="839" t="str">
        <f>VLOOKUP("18.jp*g",Fotos!$A$2:$E399,5,FALSE)</f>
        <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4" t="s">
        <v>295</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296</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297</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298</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299</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301</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297</v>
      </c>
      <c r="F352" s="850"/>
      <c r="G352" s="850"/>
      <c r="H352" s="1375"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6"/>
      <c r="I353" s="1376"/>
      <c r="J353" s="1376"/>
      <c r="K353" s="1376"/>
      <c r="L353" s="1376"/>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298</v>
      </c>
      <c r="F354" s="34"/>
      <c r="G354" s="855"/>
      <c r="H354" s="1375"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302</v>
      </c>
      <c r="D355" s="856"/>
      <c r="E355" s="34"/>
      <c r="F355" s="848"/>
      <c r="G355" s="848"/>
      <c r="H355" s="1376"/>
      <c r="I355" s="1376"/>
      <c r="J355" s="1376"/>
      <c r="K355" s="1376"/>
      <c r="L355" s="1376"/>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299</v>
      </c>
      <c r="F356" s="34"/>
      <c r="G356" s="34"/>
      <c r="H356" s="1375"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303</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613</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7" t="str">
        <f>ROUND((AW377-AU377)/1000000,1)</f>
        <v>#DIV/0!</v>
      </c>
      <c r="AX378" s="1378" t="str">
        <f>ROUND((AX377-AW377)/100000,1)</f>
        <v>#DIV/0!</v>
      </c>
      <c r="AY378" s="1379"/>
      <c r="AZ378" s="1378" t="str">
        <f>ROUND((AZ377-AX377)/10000, 1)</f>
        <v>#DIV/0!</v>
      </c>
      <c r="BA378" s="1378" t="str">
        <f>ROUND((BA377-AZ377)/1000,1)</f>
        <v>#DIV/0!</v>
      </c>
      <c r="BB378" s="1380"/>
      <c r="BC378" s="1378" t="str">
        <f>ROUND((BC377-BA377)/100,1)</f>
        <v>#DIV/0!</v>
      </c>
      <c r="BD378" s="1378"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305</v>
      </c>
      <c r="AV385" s="873"/>
      <c r="AW385" s="873" t="s">
        <v>306</v>
      </c>
      <c r="AX385" s="873" t="s">
        <v>306</v>
      </c>
      <c r="AY385" s="873"/>
      <c r="AZ385" s="873" t="s">
        <v>307</v>
      </c>
      <c r="BA385" s="874"/>
      <c r="BB385" s="871"/>
      <c r="BC385" s="875" t="s">
        <v>308</v>
      </c>
      <c r="BD385" s="875" t="s">
        <v>309</v>
      </c>
      <c r="BE385" s="875"/>
      <c r="BF385" s="875" t="s">
        <v>310</v>
      </c>
      <c r="BG385" s="875" t="s">
        <v>311</v>
      </c>
      <c r="BH385" s="876"/>
      <c r="BI385" s="877" t="s">
        <v>312</v>
      </c>
      <c r="BJ385" s="877"/>
      <c r="BK385" s="877"/>
      <c r="BL385" s="877" t="s">
        <v>313</v>
      </c>
      <c r="BM385" s="877"/>
      <c r="BN385" s="877"/>
      <c r="BO385" s="877"/>
      <c r="BP385" s="877" t="s">
        <v>314</v>
      </c>
      <c r="BQ385" s="877"/>
      <c r="BR385" s="877"/>
      <c r="BS385" s="877" t="s">
        <v>315</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316</v>
      </c>
      <c r="AV386" s="881"/>
      <c r="AW386" s="881" t="s">
        <v>317</v>
      </c>
      <c r="AX386" s="881" t="s">
        <v>318</v>
      </c>
      <c r="AY386" s="881"/>
      <c r="AZ386" s="881" t="s">
        <v>319</v>
      </c>
      <c r="BA386" s="882" t="s">
        <v>320</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321</v>
      </c>
      <c r="AV387" s="887"/>
      <c r="AW387" s="887" t="s">
        <v>322</v>
      </c>
      <c r="AX387" s="887" t="s">
        <v>323</v>
      </c>
      <c r="AY387" s="887"/>
      <c r="AZ387" s="887" t="s">
        <v>324</v>
      </c>
      <c r="BA387" s="888" t="s">
        <v>325</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326</v>
      </c>
      <c r="AV388" s="887"/>
      <c r="AW388" s="887" t="s">
        <v>327</v>
      </c>
      <c r="AX388" s="887" t="s">
        <v>328</v>
      </c>
      <c r="AY388" s="887"/>
      <c r="AZ388" s="887" t="s">
        <v>329</v>
      </c>
      <c r="BA388" s="888" t="s">
        <v>330</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331</v>
      </c>
      <c r="AV389" s="887"/>
      <c r="AW389" s="887" t="s">
        <v>332</v>
      </c>
      <c r="AX389" s="887" t="s">
        <v>333</v>
      </c>
      <c r="AY389" s="887"/>
      <c r="AZ389" s="887" t="s">
        <v>334</v>
      </c>
      <c r="BA389" s="888" t="s">
        <v>335</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336</v>
      </c>
      <c r="AV390" s="887"/>
      <c r="AW390" s="887" t="s">
        <v>337</v>
      </c>
      <c r="AX390" s="887" t="s">
        <v>338</v>
      </c>
      <c r="AY390" s="887"/>
      <c r="AZ390" s="887" t="s">
        <v>339</v>
      </c>
      <c r="BA390" s="888" t="s">
        <v>340</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341</v>
      </c>
      <c r="AV391" s="887"/>
      <c r="AW391" s="887" t="s">
        <v>342</v>
      </c>
      <c r="AX391" s="887" t="s">
        <v>343</v>
      </c>
      <c r="AY391" s="887"/>
      <c r="AZ391" s="887" t="s">
        <v>344</v>
      </c>
      <c r="BA391" s="888" t="s">
        <v>345</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346</v>
      </c>
      <c r="AV392" s="887"/>
      <c r="AW392" s="887" t="s">
        <v>347</v>
      </c>
      <c r="AX392" s="887" t="s">
        <v>343</v>
      </c>
      <c r="AY392" s="887"/>
      <c r="AZ392" s="887" t="s">
        <v>348</v>
      </c>
      <c r="BA392" s="888" t="s">
        <v>349</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350</v>
      </c>
      <c r="AV393" s="887"/>
      <c r="AW393" s="887" t="s">
        <v>351</v>
      </c>
      <c r="AX393" s="887" t="s">
        <v>343</v>
      </c>
      <c r="AY393" s="887"/>
      <c r="AZ393" s="887" t="s">
        <v>352</v>
      </c>
      <c r="BA393" s="888" t="s">
        <v>353</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354</v>
      </c>
      <c r="AV394" s="887"/>
      <c r="AW394" s="887" t="s">
        <v>355</v>
      </c>
      <c r="AX394" s="887" t="s">
        <v>343</v>
      </c>
      <c r="AY394" s="887"/>
      <c r="AZ394" s="887" t="s">
        <v>356</v>
      </c>
      <c r="BA394" s="888" t="s">
        <v>357</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104</v>
      </c>
      <c r="AV395" s="891"/>
      <c r="AW395" s="891" t="s">
        <v>104</v>
      </c>
      <c r="AX395" s="891" t="s">
        <v>343</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358</v>
      </c>
      <c r="AV397" s="887"/>
      <c r="AW397" s="887" t="s">
        <v>359</v>
      </c>
      <c r="AX397" s="887" t="s">
        <v>360</v>
      </c>
      <c r="AY397" s="887"/>
      <c r="AZ397" s="887" t="s">
        <v>361</v>
      </c>
      <c r="BA397" s="887" t="s">
        <v>362</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358</v>
      </c>
      <c r="AV398" s="887"/>
      <c r="AW398" s="887" t="s">
        <v>363</v>
      </c>
      <c r="AX398" s="887" t="str">
        <f>IF(AND(AU378&gt;0,AW378&lt;2),AZ398,IF(AND(AU378=1,AW378&lt;6),AZ398,""))</f>
        <v>#DIV/0!</v>
      </c>
      <c r="AY398" s="887"/>
      <c r="AZ398" s="887" t="s">
        <v>364</v>
      </c>
      <c r="BA398" s="887" t="str">
        <f>IF(AND(AW378&gt;0,AU378&gt;2),BA397,"")</f>
        <v>#DIV/0!</v>
      </c>
      <c r="BB398" s="871"/>
      <c r="BC398" s="893" t="s">
        <v>365</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I49:AL49"/>
    <mergeCell ref="H50:L50"/>
    <mergeCell ref="W50:AA50"/>
    <mergeCell ref="AH50:AL50"/>
    <mergeCell ref="H51:L51"/>
    <mergeCell ref="AG51:AL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I49:AL49">
    <cfRule type="containsBlanks" dxfId="0" priority="38">
      <formula>LEN(TRIM(AI49))=0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I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381"/>
      <c r="AI1" s="1382">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1383" t="s">
        <v>97</v>
      </c>
      <c r="AC2" s="25"/>
      <c r="AD2" s="35"/>
      <c r="AE2" s="36"/>
      <c r="AF2" s="37" t="s">
        <v>95</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96</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384"/>
      <c r="P4" s="1384"/>
      <c r="Q4" s="1384"/>
      <c r="R4" s="1384"/>
      <c r="S4" s="1384"/>
      <c r="T4" s="1384"/>
      <c r="U4" s="1384"/>
      <c r="V4" s="1384"/>
      <c r="W4" s="1384"/>
      <c r="X4" s="1384"/>
      <c r="Y4" s="39"/>
      <c r="Z4" s="39"/>
      <c r="AA4" s="39"/>
      <c r="AB4" s="39"/>
      <c r="AC4" s="39"/>
      <c r="AD4" s="26"/>
      <c r="AE4" s="29"/>
      <c r="AF4" s="43" t="s">
        <v>98</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1385"/>
      <c r="AG5" s="1385"/>
      <c r="AH5" s="1385"/>
      <c r="AI5" s="1385"/>
      <c r="AJ5" s="1385"/>
      <c r="AK5" s="1385"/>
      <c r="AL5" s="1385"/>
      <c r="AM5" s="1386"/>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7" t="s">
        <v>568</v>
      </c>
      <c r="B6" s="44"/>
      <c r="D6" s="1388"/>
      <c r="E6" s="919" t="str">
        <f>Query_Formato!B168</f>
        <v>OPI-25-11-07-OF</v>
      </c>
      <c r="K6" s="45"/>
      <c r="L6" s="45"/>
      <c r="M6" s="45"/>
      <c r="N6" s="45"/>
      <c r="O6" s="45"/>
      <c r="P6" s="45"/>
      <c r="Q6" s="45"/>
      <c r="R6" s="45"/>
      <c r="S6" s="45"/>
      <c r="T6" s="45"/>
      <c r="U6" s="45"/>
      <c r="V6" s="45"/>
      <c r="W6" s="45"/>
      <c r="X6" s="45"/>
      <c r="Y6" s="45"/>
      <c r="Z6" s="45"/>
      <c r="AB6" s="50"/>
      <c r="AC6" s="50"/>
      <c r="AF6" s="1389" t="s">
        <v>99</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21" t="s">
        <v>569</v>
      </c>
      <c r="E8" s="1390"/>
      <c r="V8" s="67"/>
      <c r="W8" s="67"/>
      <c r="X8" s="67"/>
      <c r="Y8" s="55" t="s">
        <v>102</v>
      </c>
      <c r="Z8" s="68" t="str">
        <f>Query_Formato!B156</f>
        <v>Federico Arellano</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1391"/>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101</v>
      </c>
      <c r="B10" s="55"/>
      <c r="C10" s="55"/>
      <c r="D10" s="34" t="str">
        <f>Query_Formato!B9</f>
        <v>Pascal 2164 Colonia San Elias Guadalajara Jalisco 44240</v>
      </c>
      <c r="V10" s="67"/>
      <c r="W10" s="67"/>
      <c r="X10" s="67"/>
      <c r="Y10" s="55" t="s">
        <v>103</v>
      </c>
      <c r="Z10" s="68"/>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7"/>
      <c r="S13" s="928"/>
      <c r="V13" s="927"/>
      <c r="AM13" s="928"/>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7"/>
      <c r="S14" s="928"/>
      <c r="V14" s="927"/>
      <c r="AM14" s="928"/>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7"/>
      <c r="S15" s="928"/>
      <c r="V15" s="927"/>
      <c r="AM15" s="928"/>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7"/>
      <c r="S16" s="928"/>
      <c r="V16" s="927"/>
      <c r="AM16" s="928"/>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7"/>
      <c r="S17" s="928"/>
      <c r="V17" s="927"/>
      <c r="AM17" s="928"/>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7"/>
      <c r="S18" s="928"/>
      <c r="V18" s="927"/>
      <c r="AM18" s="928"/>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7"/>
      <c r="S19" s="928"/>
      <c r="V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7"/>
      <c r="S20" s="928"/>
      <c r="V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7"/>
      <c r="S21" s="928"/>
      <c r="V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7"/>
      <c r="S22" s="928"/>
      <c r="V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7"/>
      <c r="S23" s="928"/>
      <c r="V23" s="927"/>
      <c r="AM23" s="928"/>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7"/>
      <c r="S24" s="928"/>
      <c r="V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7"/>
      <c r="S25" s="928"/>
      <c r="V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7"/>
      <c r="S26" s="928"/>
      <c r="V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7"/>
      <c r="S27" s="928"/>
      <c r="V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7"/>
      <c r="S28" s="928"/>
      <c r="V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7"/>
      <c r="S29" s="928"/>
      <c r="V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7"/>
      <c r="S30" s="928"/>
      <c r="V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104</v>
      </c>
      <c r="D32" s="367"/>
      <c r="E32" s="1392"/>
      <c r="F32" s="1393"/>
      <c r="G32" s="1393"/>
      <c r="H32" s="1393"/>
      <c r="I32" s="1393"/>
      <c r="J32" s="1393"/>
      <c r="K32" s="1393"/>
      <c r="L32" s="1394"/>
      <c r="M32" s="1394"/>
      <c r="N32" s="1394"/>
      <c r="O32" s="1394"/>
      <c r="P32" s="1394"/>
      <c r="Q32" s="1394"/>
      <c r="R32" s="1394"/>
      <c r="S32" s="1394"/>
      <c r="T32" s="1394"/>
      <c r="U32" s="1394"/>
      <c r="V32" s="1394"/>
      <c r="W32" s="1394"/>
      <c r="X32" s="1394"/>
      <c r="Y32" s="1394"/>
      <c r="Z32" s="1394"/>
      <c r="AA32" s="1394"/>
      <c r="AB32" s="1394"/>
      <c r="AC32" s="1394"/>
      <c r="AD32" s="1394"/>
      <c r="AE32" s="1394"/>
      <c r="AF32" s="1394"/>
      <c r="AG32" s="1394"/>
      <c r="AH32" s="1394"/>
      <c r="AI32" s="1394"/>
      <c r="AJ32" s="1394"/>
      <c r="AK32" s="1394"/>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3" t="s">
        <v>570</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
      <c r="AI34" s="9"/>
      <c r="AJ34" s="9"/>
      <c r="AK34" s="932"/>
      <c r="AL34" s="932"/>
      <c r="AM34" s="932"/>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1395" t="s">
        <v>614</v>
      </c>
      <c r="M35" s="941"/>
      <c r="N35" s="1395" t="s">
        <v>615</v>
      </c>
      <c r="AA35" s="942"/>
      <c r="AB35" s="1395" t="s">
        <v>616</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41"/>
      <c r="AA36" s="942"/>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6" t="s">
        <v>617</v>
      </c>
      <c r="D37" s="947" t="str">
        <f>D39*1.1</f>
        <v>#VALUE!</v>
      </c>
      <c r="L37" s="947"/>
      <c r="M37" s="942"/>
      <c r="N37" s="948" t="s">
        <v>281</v>
      </c>
      <c r="O37" s="945"/>
      <c r="P37" s="949"/>
      <c r="Q37" s="947" t="str">
        <f>IF(EXACT(Q39, "N/A"), Q39, Q39*1.1)
</f>
        <v>N/A</v>
      </c>
      <c r="AA37" s="942"/>
      <c r="AB37" s="946" t="s">
        <v>618</v>
      </c>
      <c r="AE37" s="947" t="str">
        <f>IF(EXACT(AE39, "N/A"), AE39, AE39*1.1)
</f>
        <v>N/A</v>
      </c>
      <c r="AM37" s="947"/>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51"/>
      <c r="E38" s="1396"/>
      <c r="F38" s="951"/>
      <c r="G38" s="951"/>
      <c r="H38" s="951"/>
      <c r="I38" s="951"/>
      <c r="J38" s="939"/>
      <c r="K38" s="939"/>
      <c r="L38" s="939"/>
      <c r="M38" s="942"/>
      <c r="N38" s="945"/>
      <c r="O38" s="945"/>
      <c r="P38" s="939"/>
      <c r="Q38" s="951"/>
      <c r="R38" s="1396"/>
      <c r="S38" s="951"/>
      <c r="T38" s="951"/>
      <c r="U38" s="951"/>
      <c r="V38" s="951"/>
      <c r="W38" s="939"/>
      <c r="X38" s="939"/>
      <c r="Y38" s="939"/>
      <c r="AA38" s="942"/>
      <c r="AE38" s="951"/>
      <c r="AF38" s="952"/>
      <c r="AG38" s="951"/>
      <c r="AH38" s="951"/>
      <c r="AI38" s="951"/>
      <c r="AJ38" s="951"/>
      <c r="AK38" s="939"/>
      <c r="AL38" s="939"/>
      <c r="AM38" s="939"/>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6" t="s">
        <v>619</v>
      </c>
      <c r="D39" s="947" t="str">
        <f>ROUND(AI150,-3)</f>
        <v>#VALUE!</v>
      </c>
      <c r="L39" s="947"/>
      <c r="M39" s="942"/>
      <c r="N39" s="948" t="s">
        <v>579</v>
      </c>
      <c r="O39" s="945"/>
      <c r="P39" s="939"/>
      <c r="Q39" s="947" t="str">
        <f>IF(K115=0, "N/A", ROUND(AJ111+AJ123+AJ148, -3))
</f>
        <v>N/A</v>
      </c>
      <c r="AA39" s="942"/>
      <c r="AB39" s="946" t="s">
        <v>620</v>
      </c>
      <c r="AE39" s="1397" t="str">
        <f>IF(J145=0, "N/A", ROUND(AJ111+AJ123+AJ145+AJ148, -3))</f>
        <v>N/A</v>
      </c>
      <c r="AF39" s="85"/>
      <c r="AG39" s="85"/>
      <c r="AH39" s="85"/>
      <c r="AI39" s="85"/>
      <c r="AJ39" s="85"/>
      <c r="AK39" s="85"/>
      <c r="AL39" s="86"/>
      <c r="AM39" s="947"/>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51"/>
      <c r="E40" s="1396"/>
      <c r="F40" s="951"/>
      <c r="G40" s="951"/>
      <c r="H40" s="951"/>
      <c r="I40" s="951"/>
      <c r="J40" s="939"/>
      <c r="K40" s="939"/>
      <c r="L40" s="939"/>
      <c r="M40" s="942"/>
      <c r="N40" s="945"/>
      <c r="O40" s="945"/>
      <c r="P40" s="939"/>
      <c r="Q40" s="951"/>
      <c r="R40" s="1396"/>
      <c r="S40" s="951"/>
      <c r="T40" s="951"/>
      <c r="U40" s="951"/>
      <c r="V40" s="951"/>
      <c r="W40" s="939"/>
      <c r="X40" s="939"/>
      <c r="Y40" s="939"/>
      <c r="AA40" s="942"/>
      <c r="AE40" s="951"/>
      <c r="AF40" s="957"/>
      <c r="AG40" s="951"/>
      <c r="AH40" s="951"/>
      <c r="AI40" s="951"/>
      <c r="AJ40" s="951"/>
      <c r="AK40" s="939"/>
      <c r="AL40" s="939"/>
      <c r="AM40" s="939"/>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6" t="s">
        <v>621</v>
      </c>
      <c r="D41" s="951" t="str">
        <f>D39*0.9</f>
        <v>#VALUE!</v>
      </c>
      <c r="L41" s="951"/>
      <c r="M41" s="942"/>
      <c r="N41" s="948" t="s">
        <v>276</v>
      </c>
      <c r="O41" s="945"/>
      <c r="P41" s="939"/>
      <c r="Q41" s="1398" t="str">
        <f>IF(EXACT(Q39, "N/A"), Q39, Q39*0.9)</f>
        <v>N/A</v>
      </c>
      <c r="AA41" s="942"/>
      <c r="AB41" s="946" t="s">
        <v>622</v>
      </c>
      <c r="AE41" s="1398" t="str">
        <f>IF(EXACT(AE39, "N/A"), AE39, AE39*0.9)</f>
        <v>N/A</v>
      </c>
      <c r="AM41" s="951"/>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9"/>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4" t="s">
        <v>165</v>
      </c>
      <c r="B45" s="975"/>
      <c r="C45" s="975"/>
      <c r="D45" s="975"/>
      <c r="E45" s="1400"/>
      <c r="M45" s="977"/>
      <c r="N45" s="1401" t="s">
        <v>623</v>
      </c>
      <c r="O45" s="975"/>
      <c r="P45" s="977"/>
      <c r="Q45" s="977"/>
      <c r="R45" s="977"/>
      <c r="S45" s="977"/>
      <c r="T45" s="1402" t="str">
        <f>UPPER(K85)</f>
        <v>HABITACIONAL DENSIDAD MÍNIMA UNIFAMILIAR</v>
      </c>
      <c r="AB45" s="992" t="s">
        <v>585</v>
      </c>
      <c r="AC45" s="977"/>
      <c r="AD45" s="975"/>
      <c r="AE45" s="939"/>
      <c r="AF45" s="939"/>
      <c r="AG45" s="939"/>
      <c r="AH45" s="1403"/>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7"/>
      <c r="K46" s="916"/>
      <c r="L46" s="939"/>
      <c r="M46" s="939"/>
      <c r="N46" s="977"/>
      <c r="O46" s="939"/>
      <c r="P46" s="939"/>
      <c r="Q46" s="939"/>
      <c r="R46" s="939"/>
      <c r="S46" s="939"/>
      <c r="T46" s="939"/>
      <c r="U46" s="939"/>
      <c r="V46" s="939"/>
      <c r="W46" s="939"/>
      <c r="X46" s="939"/>
      <c r="Y46" s="939"/>
      <c r="Z46" s="939"/>
      <c r="AB46" s="997" t="s">
        <v>624</v>
      </c>
      <c r="AM46" s="1004"/>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4" t="s">
        <v>625</v>
      </c>
      <c r="F47" s="1404"/>
      <c r="M47" s="939"/>
      <c r="N47" s="1405" t="s">
        <v>626</v>
      </c>
      <c r="R47" s="1406" t="str">
        <f>V92</f>
        <v/>
      </c>
      <c r="AM47" s="1004"/>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004"/>
      <c r="AM48" s="1004"/>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4" t="s">
        <v>627</v>
      </c>
      <c r="G49" s="1409">
        <f>Query_Formato!B70</f>
        <v>1</v>
      </c>
      <c r="M49" s="939"/>
      <c r="N49" s="992" t="s">
        <v>628</v>
      </c>
      <c r="O49" s="993"/>
      <c r="P49" s="965"/>
      <c r="Q49" s="965"/>
      <c r="R49" s="1014"/>
      <c r="AB49" s="1001" t="s">
        <v>629</v>
      </c>
      <c r="AD49" s="939"/>
      <c r="AE49" s="939"/>
      <c r="AF49" s="939"/>
      <c r="AG49" s="939"/>
      <c r="AH49" s="939"/>
      <c r="AI49" s="1410"/>
      <c r="AM49" s="1004"/>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411"/>
      <c r="L50" s="965"/>
      <c r="M50" s="965"/>
      <c r="N50" s="1412"/>
      <c r="O50" s="993"/>
      <c r="P50" s="965"/>
      <c r="Q50" s="965"/>
      <c r="R50" s="999"/>
      <c r="S50" s="965"/>
      <c r="T50" s="965"/>
      <c r="U50" s="965"/>
      <c r="V50" s="965"/>
      <c r="W50" s="965"/>
      <c r="X50" s="965"/>
      <c r="Y50" s="965"/>
      <c r="Z50" s="965"/>
      <c r="AB50" s="1413"/>
      <c r="AC50" s="965"/>
      <c r="AD50" s="965"/>
      <c r="AE50" s="965"/>
      <c r="AF50" s="965"/>
      <c r="AG50" s="965"/>
      <c r="AH50" s="965"/>
      <c r="AI50" s="965"/>
      <c r="AJ50" s="965"/>
      <c r="AK50" s="965"/>
      <c r="AL50" s="1006"/>
      <c r="AM50" s="1006"/>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2" t="s">
        <v>630</v>
      </c>
      <c r="I51" s="1005">
        <f>G111</f>
        <v>0</v>
      </c>
      <c r="M51" s="965"/>
      <c r="N51" s="992" t="s">
        <v>631</v>
      </c>
      <c r="O51" s="1006"/>
      <c r="P51" s="1007"/>
      <c r="Q51" s="1007"/>
      <c r="R51" s="999"/>
      <c r="S51" s="965"/>
      <c r="T51" s="1014"/>
      <c r="AB51" s="1008" t="s">
        <v>592</v>
      </c>
      <c r="AC51" s="965"/>
      <c r="AD51" s="965"/>
      <c r="AE51" s="965"/>
      <c r="AF51" s="965"/>
      <c r="AG51" s="965"/>
      <c r="AH51" s="1014"/>
      <c r="AM51" s="1006"/>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411"/>
      <c r="L52" s="965"/>
      <c r="M52" s="965"/>
      <c r="N52" s="1412"/>
      <c r="O52" s="1006"/>
      <c r="P52" s="1007"/>
      <c r="Q52" s="1007"/>
      <c r="R52" s="999"/>
      <c r="S52" s="965"/>
      <c r="T52" s="965"/>
      <c r="U52" s="965"/>
      <c r="V52" s="965"/>
      <c r="W52" s="965"/>
      <c r="X52" s="965"/>
      <c r="Y52" s="965"/>
      <c r="Z52" s="965"/>
      <c r="AB52" s="965"/>
      <c r="AC52" s="965"/>
      <c r="AD52" s="965"/>
      <c r="AE52" s="965"/>
      <c r="AF52" s="965"/>
      <c r="AG52" s="965"/>
      <c r="AH52" s="965"/>
      <c r="AI52" s="965"/>
      <c r="AJ52" s="965"/>
      <c r="AK52" s="965"/>
      <c r="AL52" s="1006"/>
      <c r="AM52" s="1006"/>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2" t="s">
        <v>632</v>
      </c>
      <c r="B53" s="993"/>
      <c r="C53" s="965"/>
      <c r="D53" s="965"/>
      <c r="E53" s="994"/>
      <c r="F53" s="965"/>
      <c r="G53" s="965"/>
      <c r="H53" s="965"/>
      <c r="I53" s="1010">
        <f>K123</f>
        <v>0</v>
      </c>
      <c r="M53" s="965"/>
      <c r="N53" s="992" t="s">
        <v>633</v>
      </c>
      <c r="O53" s="1006"/>
      <c r="P53" s="1007"/>
      <c r="Q53" s="1007"/>
      <c r="R53" s="999"/>
      <c r="S53" s="1414">
        <f>Query_Formato!B69</f>
        <v>4</v>
      </c>
      <c r="AB53" s="1012" t="s">
        <v>594</v>
      </c>
      <c r="AF53" s="1013"/>
      <c r="AG53" s="1014"/>
      <c r="AM53" s="1006"/>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7" t="s">
        <v>634</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415"/>
      <c r="AC54" s="1415"/>
      <c r="AD54" s="1415"/>
      <c r="AE54" s="1415"/>
      <c r="AF54" s="141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30"/>
      <c r="N55" s="1417" t="s">
        <v>635</v>
      </c>
      <c r="Z55" s="1031"/>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1418" t="s">
        <v>636</v>
      </c>
      <c r="B56" s="1419"/>
      <c r="C56" s="1420"/>
      <c r="D56" s="1420"/>
      <c r="E56" s="1420"/>
      <c r="F56" s="1420"/>
      <c r="G56" s="1420"/>
      <c r="H56" s="1420"/>
      <c r="I56" s="1421">
        <f>(AP152*10)/1</f>
        <v>0.04</v>
      </c>
      <c r="L56" s="34"/>
      <c r="M56" s="1030"/>
      <c r="Z56" s="1031"/>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32"/>
      <c r="N57" s="1422" t="s">
        <v>281</v>
      </c>
      <c r="O57" s="1423"/>
      <c r="P57" s="1036"/>
      <c r="Q57" s="1033" t="str">
        <f>Q59*1.1</f>
        <v>#DIV/0!</v>
      </c>
      <c r="Z57" s="1031"/>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12" t="s">
        <v>637</v>
      </c>
      <c r="I58" s="1424" t="str">
        <f>AC108</f>
        <v>#DIV/0!</v>
      </c>
      <c r="L58" s="34"/>
      <c r="M58" s="1032"/>
      <c r="N58" s="1423"/>
      <c r="O58" s="1423"/>
      <c r="P58" s="1425"/>
      <c r="Q58" s="958"/>
      <c r="R58" s="1036"/>
      <c r="S58" s="958"/>
      <c r="T58" s="958"/>
      <c r="U58" s="958"/>
      <c r="V58" s="958"/>
      <c r="W58" s="958"/>
      <c r="X58" s="958"/>
      <c r="Y58" s="958"/>
      <c r="Z58" s="1031"/>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32"/>
      <c r="N59" s="1422" t="s">
        <v>579</v>
      </c>
      <c r="O59" s="1423"/>
      <c r="P59" s="1425"/>
      <c r="Q59" s="1033" t="str">
        <f>AJ152</f>
        <v>#DIV/0!</v>
      </c>
      <c r="Z59" s="1031"/>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32"/>
      <c r="N60" s="1423"/>
      <c r="O60" s="1423"/>
      <c r="P60" s="1425"/>
      <c r="Q60" s="958"/>
      <c r="R60" s="1036"/>
      <c r="S60" s="958"/>
      <c r="T60" s="958"/>
      <c r="U60" s="958"/>
      <c r="V60" s="958"/>
      <c r="W60" s="958"/>
      <c r="X60" s="958"/>
      <c r="Y60" s="958"/>
      <c r="Z60" s="1031"/>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32"/>
      <c r="N61" s="1422" t="s">
        <v>276</v>
      </c>
      <c r="O61" s="1423"/>
      <c r="P61" s="1425"/>
      <c r="Q61" s="1040" t="str">
        <f>Q59*0.9</f>
        <v>#DIV/0!</v>
      </c>
      <c r="Z61" s="1031"/>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30"/>
      <c r="N62" s="1029"/>
      <c r="O62" s="1029"/>
      <c r="P62" s="15"/>
      <c r="Q62" s="1029"/>
      <c r="R62" s="1029"/>
      <c r="S62" s="1029"/>
      <c r="T62" s="1029"/>
      <c r="U62" s="1029"/>
      <c r="V62" s="1029"/>
      <c r="W62" s="1029"/>
      <c r="X62" s="1029"/>
      <c r="Y62" s="1029"/>
      <c r="Z62" s="1031"/>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43.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1426" t="s">
        <v>113</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108</v>
      </c>
      <c r="F75" s="107"/>
      <c r="G75" s="107"/>
      <c r="H75" s="92"/>
      <c r="I75" s="34"/>
      <c r="J75" s="34"/>
      <c r="K75" s="1427"/>
      <c r="L75" s="95"/>
      <c r="M75" s="95"/>
      <c r="N75" s="95"/>
      <c r="O75" s="95"/>
      <c r="P75" s="96"/>
      <c r="Q75" s="34"/>
      <c r="R75" s="101"/>
      <c r="S75" s="109" t="s">
        <v>109</v>
      </c>
      <c r="T75" s="101"/>
      <c r="U75" s="101"/>
      <c r="V75" s="101"/>
      <c r="W75" s="101"/>
      <c r="X75" s="101"/>
      <c r="Y75" s="34"/>
      <c r="Z75" s="34"/>
      <c r="AA75" s="1428"/>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111</v>
      </c>
      <c r="I77" s="97"/>
      <c r="J77" s="97"/>
      <c r="K77" s="1429"/>
      <c r="L77" s="95"/>
      <c r="M77" s="95"/>
      <c r="N77" s="95"/>
      <c r="O77" s="95"/>
      <c r="P77" s="95"/>
      <c r="Q77" s="95"/>
      <c r="R77" s="95"/>
      <c r="S77" s="95"/>
      <c r="T77" s="96"/>
      <c r="U77" s="106"/>
      <c r="V77" s="106"/>
      <c r="W77" s="97"/>
      <c r="X77" s="118" t="s">
        <v>112</v>
      </c>
      <c r="AD77" s="1430"/>
      <c r="AE77" s="1431"/>
      <c r="AF77" s="1431"/>
      <c r="AG77" s="1431"/>
      <c r="AH77" s="1431"/>
      <c r="AI77" s="1431"/>
      <c r="AJ77" s="1432"/>
      <c r="AK77" s="1433"/>
      <c r="AL77" s="1433"/>
      <c r="AM77" s="1434"/>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114</v>
      </c>
      <c r="B79" s="128"/>
      <c r="C79" s="90"/>
      <c r="D79" s="90"/>
      <c r="E79" s="90"/>
      <c r="F79" s="92"/>
      <c r="G79" s="92"/>
      <c r="H79" s="90"/>
      <c r="I79" s="34"/>
      <c r="J79" s="34"/>
      <c r="K79" s="1435" t="str">
        <f>+CONCATENATE(AQ90," ",AR90,", ",AQ91," ",AR91,", ",AQ92," ",AR92,", ",AQ93," ",AR93,", ",AQ94," ",AR94,", ",AQ95," ",AR95,", ",AQ96," ",AR96,", ",AQ97," ",AR97,", ",AQ98," ",AR98,".", )</f>
        <v>SERVICIOS BÁSICOS: , AGUA POTABLE: , DRENAJE: , ENERGÍA ELÉCTRICA: , GAS: , ALUMBRADO EXTERIOR: , LÍNEAS TELEFÓNICAS: , VIALIDADES: , TRANSPORTE: .</v>
      </c>
      <c r="L79" s="1436"/>
      <c r="M79" s="1436"/>
      <c r="N79" s="1436"/>
      <c r="O79" s="1436"/>
      <c r="P79" s="1436"/>
      <c r="Q79" s="1436"/>
      <c r="R79" s="1436"/>
      <c r="S79" s="1436"/>
      <c r="T79" s="1436"/>
      <c r="U79" s="1436"/>
      <c r="V79" s="1436"/>
      <c r="W79" s="1436"/>
      <c r="X79" s="1436"/>
      <c r="Y79" s="1436"/>
      <c r="Z79" s="1436"/>
      <c r="AA79" s="1436"/>
      <c r="AB79" s="1436"/>
      <c r="AC79" s="1436"/>
      <c r="AD79" s="1436"/>
      <c r="AE79" s="1436"/>
      <c r="AF79" s="1436"/>
      <c r="AG79" s="1436"/>
      <c r="AH79" s="1436"/>
      <c r="AI79" s="1436"/>
      <c r="AJ79" s="1436"/>
      <c r="AK79" s="1436"/>
      <c r="AL79" s="1436"/>
      <c r="AM79" s="1437"/>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438"/>
      <c r="L80" s="1439"/>
      <c r="M80" s="1439"/>
      <c r="N80" s="1439"/>
      <c r="O80" s="1439"/>
      <c r="P80" s="1439"/>
      <c r="Q80" s="1439"/>
      <c r="R80" s="1439"/>
      <c r="S80" s="1439"/>
      <c r="T80" s="1439"/>
      <c r="U80" s="1439"/>
      <c r="V80" s="1439"/>
      <c r="W80" s="1439"/>
      <c r="X80" s="1439"/>
      <c r="Y80" s="1439"/>
      <c r="Z80" s="1439"/>
      <c r="AA80" s="1439"/>
      <c r="AB80" s="1439"/>
      <c r="AC80" s="1439"/>
      <c r="AD80" s="1439"/>
      <c r="AE80" s="1439"/>
      <c r="AF80" s="1439"/>
      <c r="AG80" s="1439"/>
      <c r="AH80" s="1439"/>
      <c r="AI80" s="1439"/>
      <c r="AJ80" s="1439"/>
      <c r="AK80" s="1439"/>
      <c r="AL80" s="1439"/>
      <c r="AM80" s="1440"/>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115</v>
      </c>
      <c r="B82" s="132"/>
      <c r="C82" s="133"/>
      <c r="D82" s="133"/>
      <c r="E82" s="56"/>
      <c r="F82" s="56"/>
      <c r="G82" s="56"/>
      <c r="H82" s="56"/>
      <c r="I82" s="134"/>
      <c r="J82" s="34"/>
      <c r="K82" s="1441"/>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442" t="s">
        <v>117</v>
      </c>
      <c r="X84" s="1443" t="s">
        <v>118</v>
      </c>
      <c r="Y84" s="148"/>
      <c r="AA84" s="1444" t="s">
        <v>119</v>
      </c>
      <c r="AC84" s="152" t="s">
        <v>120</v>
      </c>
      <c r="AE84" s="148"/>
      <c r="AF84" s="153" t="s">
        <v>121</v>
      </c>
      <c r="AH84" s="154" t="s">
        <v>122</v>
      </c>
      <c r="AI84" s="155"/>
      <c r="AK84" s="1445" t="s">
        <v>138</v>
      </c>
      <c r="AL84" s="155"/>
      <c r="AM84" s="155"/>
      <c r="AN84" s="31"/>
      <c r="AO84" s="31"/>
      <c r="AP84" s="1446" t="s">
        <v>638</v>
      </c>
      <c r="AQ84" s="1447">
        <v>1995.0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126</v>
      </c>
      <c r="B85" s="147"/>
      <c r="C85" s="147"/>
      <c r="D85" s="147"/>
      <c r="E85" s="147"/>
      <c r="F85" s="159" t="s">
        <v>127</v>
      </c>
      <c r="G85" s="120"/>
      <c r="H85" s="121"/>
      <c r="I85" s="147"/>
      <c r="J85" s="92"/>
      <c r="K85" s="160" t="str">
        <f>UPPER(CONCATENATE(VLOOKUP(F85,'catalogo 2'!L5:N103,2,0)," ",(VLOOKUP(F85,'catalogo 2'!L5:N103,3,0))))</f>
        <v>HABITACIONAL DENSIDAD MÍNIMA UNIFAMILIAR</v>
      </c>
      <c r="L85" s="120"/>
      <c r="M85" s="120"/>
      <c r="N85" s="120"/>
      <c r="O85" s="120"/>
      <c r="P85" s="120"/>
      <c r="Q85" s="120"/>
      <c r="R85" s="120"/>
      <c r="S85" s="120"/>
      <c r="T85" s="121"/>
      <c r="U85" s="161"/>
      <c r="V85" s="1067">
        <f>VLOOKUP(F85,'catalogo 2'!L4:AI84,14,0)</f>
        <v>0.4</v>
      </c>
      <c r="W85" s="121"/>
      <c r="X85" s="1068">
        <f>VLOOKUP(F85,'catalogo 2'!L4:AI84,16,0)</f>
        <v>0.8</v>
      </c>
      <c r="Y85" s="121"/>
      <c r="AA85" s="164">
        <f>VLOOKUP(F85,'catalogo 2'!L4:AI84,11,0)</f>
        <v>20</v>
      </c>
      <c r="AB85" s="120"/>
      <c r="AC85" s="166" t="str">
        <f>VLOOKUP(F85,'catalogo 2'!L4:AI84,10,0)</f>
        <v>600 m2</v>
      </c>
      <c r="AD85" s="121"/>
      <c r="AE85" s="148"/>
      <c r="AF85" s="1069">
        <f>VLOOKUP(F85,'catalogo 2'!L4:AI84,18,0)</f>
        <v>4</v>
      </c>
      <c r="AG85" s="121"/>
      <c r="AH85" s="168"/>
      <c r="AI85" s="169"/>
      <c r="AK85" s="1448"/>
      <c r="AL85" s="1089"/>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130</v>
      </c>
      <c r="B87" s="90"/>
      <c r="C87" s="90"/>
      <c r="D87" s="90"/>
      <c r="E87" s="103"/>
      <c r="F87" s="44" t="s">
        <v>131</v>
      </c>
      <c r="G87" s="103"/>
      <c r="H87" s="103"/>
      <c r="I87" s="90" t="s">
        <v>132</v>
      </c>
      <c r="J87" s="90"/>
      <c r="K87" s="90"/>
      <c r="L87" s="103"/>
      <c r="M87" s="90" t="s">
        <v>133</v>
      </c>
      <c r="N87" s="90"/>
      <c r="O87" s="90"/>
      <c r="P87" s="90"/>
      <c r="Q87" s="103"/>
      <c r="R87" s="90" t="s">
        <v>134</v>
      </c>
      <c r="S87" s="90"/>
      <c r="T87" s="103"/>
      <c r="U87" s="90"/>
      <c r="V87" s="90" t="s">
        <v>135</v>
      </c>
      <c r="W87" s="103"/>
      <c r="X87" s="118"/>
      <c r="Y87" s="118"/>
      <c r="Z87" s="118"/>
      <c r="AA87" s="1449" t="s">
        <v>639</v>
      </c>
      <c r="AF87" s="118"/>
      <c r="AG87" s="118"/>
      <c r="AH87" s="90" t="s">
        <v>137</v>
      </c>
      <c r="AI87" s="103"/>
      <c r="AJ87" s="118"/>
      <c r="AK87" s="118"/>
      <c r="AL87" s="1450" t="s">
        <v>640</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1451">
        <f>YEAR(TODAY()) - AQ84
</f>
        <v>31</v>
      </c>
      <c r="B88" s="95"/>
      <c r="C88" s="95"/>
      <c r="D88" s="96"/>
      <c r="E88" s="1079"/>
      <c r="F88" s="1080">
        <v>60.0</v>
      </c>
      <c r="G88" s="183"/>
      <c r="H88" s="1064"/>
      <c r="I88" s="1078">
        <f>+F88-A88</f>
        <v>29</v>
      </c>
      <c r="J88" s="95"/>
      <c r="K88" s="96"/>
      <c r="L88" s="720"/>
      <c r="M88" s="1452" t="str">
        <f>VLOOKUP(A88,'catalogo 2'!C113:F118,4) </f>
        <v>#N/A</v>
      </c>
      <c r="N88" s="185"/>
      <c r="O88" s="185"/>
      <c r="P88" s="183"/>
      <c r="Q88" s="1453"/>
      <c r="R88" s="120"/>
      <c r="S88" s="120"/>
      <c r="T88" s="121"/>
      <c r="U88" s="1064"/>
      <c r="V88" s="1454"/>
      <c r="W88" s="120"/>
      <c r="X88" s="121"/>
      <c r="Y88" s="1064"/>
      <c r="Z88" s="1455"/>
      <c r="AA88" s="120"/>
      <c r="AB88" s="120"/>
      <c r="AC88" s="120"/>
      <c r="AD88" s="120"/>
      <c r="AE88" s="120"/>
      <c r="AF88" s="1085"/>
      <c r="AG88" s="1456" t="str">
        <f>+CONCATENATE(VLOOKUP(M88,'catalogo 2'!E120:F125,2,FALSE),".",VLOOKUP('OPI Constr'!R80,'catalogo 2'!G120:H125,2,FALSE),".",VLOOKUP('OPI Constr'!V80,'catalogo 2'!I120:J128,2,FALSE),".",VLOOKUP('OPI Constr'!Z80,'catalogo 2'!L120:M129,2,FALSE))</f>
        <v>#N/A</v>
      </c>
      <c r="AH88" s="120"/>
      <c r="AI88" s="120"/>
      <c r="AJ88" s="121"/>
      <c r="AK88" s="1087"/>
      <c r="AL88" s="1457"/>
      <c r="AM88" s="169"/>
      <c r="AN88" s="31"/>
      <c r="AO88" s="1458" t="s">
        <v>641</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58"/>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59" t="s">
        <v>139</v>
      </c>
      <c r="B90" s="198"/>
      <c r="C90" s="34"/>
      <c r="D90" s="197"/>
      <c r="E90" s="101"/>
      <c r="F90" s="56"/>
      <c r="G90" s="101"/>
      <c r="H90" s="34"/>
      <c r="I90" s="1460"/>
      <c r="U90" s="34"/>
      <c r="V90" s="34"/>
      <c r="W90" s="34"/>
      <c r="X90" s="9"/>
      <c r="Y90" s="9"/>
      <c r="Z90" s="1461" t="str">
        <f>VLOOKUP("3.jp*g",Fotos!$A$2:$E395,5,FALSE)</f>
        <v/>
      </c>
      <c r="AM90" s="202"/>
      <c r="AN90" s="317"/>
      <c r="AO90" s="1462"/>
      <c r="AP90" s="1463"/>
      <c r="AQ90" s="1464" t="s">
        <v>140</v>
      </c>
      <c r="AR90" s="1465"/>
      <c r="AS90" s="1466"/>
      <c r="AT90" s="1467"/>
      <c r="AU90" s="1468"/>
      <c r="AV90" s="1468"/>
      <c r="AW90" s="1468"/>
      <c r="AX90" s="1468"/>
      <c r="AY90" s="1468"/>
      <c r="AZ90" s="1468"/>
      <c r="BA90" s="1468"/>
      <c r="BB90" s="1468"/>
      <c r="BC90" s="1468"/>
      <c r="BD90" s="1468"/>
      <c r="BE90" s="1468"/>
      <c r="BF90" s="1468"/>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1469"/>
      <c r="Y91" s="1469"/>
      <c r="AM91" s="202"/>
      <c r="AN91" s="317"/>
      <c r="AO91" s="1470"/>
      <c r="AP91" s="1471"/>
      <c r="AQ91" s="1472" t="s">
        <v>141</v>
      </c>
      <c r="AR91" s="1473"/>
      <c r="AT91" s="1474"/>
      <c r="AU91" s="1468"/>
      <c r="AV91" s="1468"/>
      <c r="AW91" s="1468"/>
      <c r="AX91" s="1468"/>
      <c r="AY91" s="1468"/>
      <c r="AZ91" s="1468"/>
      <c r="BA91" s="1468"/>
      <c r="BB91" s="1468"/>
      <c r="BC91" s="1468"/>
      <c r="BD91" s="1468"/>
      <c r="BE91" s="1468"/>
      <c r="BF91" s="1468"/>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142</v>
      </c>
      <c r="D92" s="213"/>
      <c r="E92" s="1475"/>
      <c r="G92" s="213"/>
      <c r="H92" s="1476"/>
      <c r="V92" s="216"/>
      <c r="W92" s="1477"/>
      <c r="X92" s="1469"/>
      <c r="Y92" s="1469"/>
      <c r="AM92" s="202"/>
      <c r="AN92" s="317"/>
      <c r="AO92" s="1470"/>
      <c r="AP92" s="1471"/>
      <c r="AQ92" s="1472" t="s">
        <v>143</v>
      </c>
      <c r="AR92" s="1473"/>
      <c r="AT92" s="1474"/>
      <c r="AU92" s="1468"/>
      <c r="AV92" s="1468"/>
      <c r="AW92" s="1468"/>
      <c r="AX92" s="1468"/>
      <c r="AY92" s="1468"/>
      <c r="AZ92" s="1468"/>
      <c r="BA92" s="1468"/>
      <c r="BB92" s="1468"/>
      <c r="BC92" s="1468"/>
      <c r="BD92" s="1468"/>
      <c r="BE92" s="1468"/>
      <c r="BF92" s="1468"/>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475" t="str">
        <f>IF(E92&lt;&gt;"", E92, "")</f>
        <v/>
      </c>
      <c r="G93" s="218"/>
      <c r="H93" s="1476"/>
      <c r="V93" s="219"/>
      <c r="W93" s="219"/>
      <c r="X93" s="1469"/>
      <c r="Y93" s="1469"/>
      <c r="AM93" s="202"/>
      <c r="AN93" s="317"/>
      <c r="AO93" s="1470"/>
      <c r="AP93" s="1471"/>
      <c r="AQ93" s="1472" t="s">
        <v>144</v>
      </c>
      <c r="AR93" s="1478"/>
      <c r="AT93" s="1474"/>
      <c r="AU93" s="1468"/>
      <c r="AV93" s="1468"/>
      <c r="AW93" s="1468"/>
      <c r="AX93" s="1468"/>
      <c r="AY93" s="1468"/>
      <c r="AZ93" s="1468"/>
      <c r="BA93" s="1468"/>
      <c r="BB93" s="1468"/>
      <c r="BC93" s="1468"/>
      <c r="BD93" s="1468"/>
      <c r="BE93" s="1468"/>
      <c r="BF93" s="1468"/>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475"/>
      <c r="G94" s="218"/>
      <c r="H94" s="1476"/>
      <c r="V94" s="219"/>
      <c r="W94" s="219"/>
      <c r="X94" s="1469"/>
      <c r="Y94" s="1469"/>
      <c r="AM94" s="202"/>
      <c r="AN94" s="317"/>
      <c r="AO94" s="1470"/>
      <c r="AP94" s="1471"/>
      <c r="AQ94" s="1472" t="s">
        <v>145</v>
      </c>
      <c r="AR94" s="1478"/>
      <c r="AT94" s="1474"/>
      <c r="AU94" s="1468"/>
      <c r="AV94" s="1468"/>
      <c r="AW94" s="1468"/>
      <c r="AX94" s="1468"/>
      <c r="AY94" s="1468"/>
      <c r="AZ94" s="1468"/>
      <c r="BA94" s="1468"/>
      <c r="BB94" s="1468"/>
      <c r="BC94" s="1468"/>
      <c r="BD94" s="1468"/>
      <c r="BE94" s="1468"/>
      <c r="BF94" s="1468"/>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475" t="str">
        <f>IF(E94&lt;&gt;"", E94, "")</f>
        <v/>
      </c>
      <c r="G95" s="218"/>
      <c r="H95" s="1476"/>
      <c r="V95" s="220"/>
      <c r="W95" s="219"/>
      <c r="X95" s="1469"/>
      <c r="Y95" s="1469"/>
      <c r="AM95" s="202"/>
      <c r="AN95" s="317"/>
      <c r="AO95" s="1470"/>
      <c r="AP95" s="1471"/>
      <c r="AQ95" s="1472" t="s">
        <v>146</v>
      </c>
      <c r="AR95" s="1478"/>
      <c r="AT95" s="1474"/>
      <c r="AU95" s="1468"/>
      <c r="AV95" s="1468"/>
      <c r="AW95" s="1468"/>
      <c r="AX95" s="1468"/>
      <c r="AY95" s="1468"/>
      <c r="AZ95" s="1468"/>
      <c r="BA95" s="1468"/>
      <c r="BB95" s="1468"/>
      <c r="BC95" s="1468"/>
      <c r="BD95" s="1468"/>
      <c r="BE95" s="1468"/>
      <c r="BF95" s="1468"/>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1469"/>
      <c r="Y96" s="1469"/>
      <c r="AM96" s="202"/>
      <c r="AN96" s="317"/>
      <c r="AO96" s="1470"/>
      <c r="AP96" s="1471"/>
      <c r="AQ96" s="1472" t="s">
        <v>147</v>
      </c>
      <c r="AR96" s="1478"/>
      <c r="AT96" s="1474"/>
      <c r="AU96" s="1468"/>
      <c r="AV96" s="1468"/>
      <c r="AW96" s="1468"/>
      <c r="AX96" s="1468"/>
      <c r="AY96" s="1468"/>
      <c r="AZ96" s="1468"/>
      <c r="BA96" s="1468"/>
      <c r="BB96" s="1468"/>
      <c r="BC96" s="1468"/>
      <c r="BD96" s="1468"/>
      <c r="BE96" s="1468"/>
      <c r="BF96" s="1468"/>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148</v>
      </c>
      <c r="B97" s="217"/>
      <c r="C97" s="34"/>
      <c r="D97" s="217"/>
      <c r="E97" s="215"/>
      <c r="F97" s="215"/>
      <c r="G97" s="215"/>
      <c r="H97" s="215"/>
      <c r="I97" s="215"/>
      <c r="J97" s="215"/>
      <c r="K97" s="215"/>
      <c r="L97" s="215"/>
      <c r="M97" s="215"/>
      <c r="N97" s="215"/>
      <c r="O97" s="215"/>
      <c r="P97" s="215"/>
      <c r="Q97" s="215"/>
      <c r="R97" s="215"/>
      <c r="S97" s="215"/>
      <c r="T97" s="219"/>
      <c r="U97" s="219"/>
      <c r="V97" s="219"/>
      <c r="W97" s="219"/>
      <c r="X97" s="1469"/>
      <c r="Y97" s="1469"/>
      <c r="AM97" s="202"/>
      <c r="AN97" s="317"/>
      <c r="AO97" s="1470"/>
      <c r="AP97" s="1471"/>
      <c r="AQ97" s="1472" t="s">
        <v>149</v>
      </c>
      <c r="AR97" s="1479"/>
      <c r="AT97" s="1474"/>
      <c r="AU97" s="1468"/>
      <c r="AV97" s="1468"/>
      <c r="AW97" s="1468"/>
      <c r="AX97" s="1468"/>
      <c r="AY97" s="1468"/>
      <c r="AZ97" s="1468"/>
      <c r="BA97" s="1468"/>
      <c r="BB97" s="1468"/>
      <c r="BC97" s="1468"/>
      <c r="BD97" s="1468"/>
      <c r="BE97" s="1468"/>
      <c r="BF97" s="1468"/>
      <c r="BG97" s="222"/>
      <c r="BH97" s="222"/>
      <c r="BI97" s="222"/>
      <c r="BJ97" s="222"/>
      <c r="BK97" s="222"/>
      <c r="BL97" s="222"/>
      <c r="BM97" s="222"/>
      <c r="BN97" s="222"/>
      <c r="BO97" s="222"/>
      <c r="BP97" s="222"/>
      <c r="BQ97" s="222"/>
      <c r="BR97" s="222"/>
      <c r="BS97" s="222"/>
      <c r="BT97" s="222"/>
      <c r="BU97" s="222"/>
      <c r="BV97" s="222"/>
      <c r="BW97" s="31"/>
      <c r="BX97" s="31"/>
      <c r="BY97" s="34"/>
      <c r="BZ97" s="34"/>
    </row>
    <row r="98">
      <c r="A98" s="1480"/>
      <c r="U98" s="227"/>
      <c r="V98" s="227"/>
      <c r="W98" s="1481"/>
      <c r="X98" s="1469"/>
      <c r="Y98" s="1469"/>
      <c r="AM98" s="202"/>
      <c r="AN98" s="317"/>
      <c r="AO98" s="1482"/>
      <c r="AP98" s="1483"/>
      <c r="AQ98" s="1484" t="s">
        <v>150</v>
      </c>
      <c r="AR98" s="1485"/>
      <c r="AS98" s="1486"/>
      <c r="AT98" s="1487"/>
      <c r="AU98" s="1468"/>
      <c r="AV98" s="1468"/>
      <c r="AW98" s="1468"/>
      <c r="AX98" s="1468"/>
      <c r="AY98" s="1468"/>
      <c r="AZ98" s="1468"/>
      <c r="BA98" s="1468"/>
      <c r="BB98" s="1468"/>
      <c r="BC98" s="1468"/>
      <c r="BD98" s="1468"/>
      <c r="BE98" s="1468"/>
      <c r="BF98" s="1468"/>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81"/>
      <c r="X99" s="1469"/>
      <c r="Y99" s="1469"/>
      <c r="AM99" s="202"/>
      <c r="AN99" s="317"/>
      <c r="AO99" s="31"/>
      <c r="AP99" s="31"/>
      <c r="AQ99" s="31"/>
      <c r="AR99" s="31"/>
      <c r="AS99" s="31"/>
      <c r="AT99" s="31"/>
      <c r="AU99" s="31"/>
      <c r="AV99" s="1468"/>
      <c r="AW99" s="1468"/>
      <c r="AX99" s="1468"/>
      <c r="AY99" s="1468"/>
      <c r="AZ99" s="1468"/>
      <c r="BA99" s="1468"/>
      <c r="BB99" s="1468"/>
      <c r="BC99" s="1468"/>
      <c r="BD99" s="1468"/>
      <c r="BE99" s="1468"/>
      <c r="BF99" s="1468"/>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81"/>
      <c r="X100" s="1469"/>
      <c r="Y100" s="1469"/>
      <c r="AM100" s="202"/>
      <c r="AN100" s="31"/>
      <c r="AO100" s="31"/>
      <c r="AP100" s="31"/>
      <c r="AQ100" s="31"/>
      <c r="AR100" s="31"/>
      <c r="AS100" s="31"/>
      <c r="AT100" s="31"/>
      <c r="AU100" s="31"/>
      <c r="AV100" s="1468"/>
      <c r="AW100" s="1468"/>
      <c r="AX100" s="1468"/>
      <c r="AY100" s="1468"/>
      <c r="AZ100" s="1468"/>
      <c r="BA100" s="1468"/>
      <c r="BB100" s="1468"/>
      <c r="BC100" s="1468"/>
      <c r="BD100" s="1468"/>
      <c r="BE100" s="1468"/>
      <c r="BF100" s="1468"/>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81"/>
      <c r="X101" s="1469"/>
      <c r="Y101" s="1469"/>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81"/>
      <c r="X102" s="1469"/>
      <c r="Y102" s="1469"/>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1426" t="s">
        <v>151</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152</v>
      </c>
      <c r="D105" s="243"/>
      <c r="E105" s="244"/>
      <c r="F105" s="245"/>
      <c r="G105" s="245"/>
      <c r="H105" s="245"/>
      <c r="I105" s="245"/>
      <c r="J105" s="245"/>
      <c r="K105" s="245"/>
      <c r="L105" s="245"/>
      <c r="M105" s="245"/>
      <c r="N105" s="244"/>
      <c r="O105" s="244"/>
      <c r="P105" s="246" t="s">
        <v>153</v>
      </c>
      <c r="Q105" s="245" t="s">
        <v>154</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488" t="s">
        <v>155</v>
      </c>
      <c r="B106" s="253"/>
      <c r="C106" s="1489" t="s">
        <v>642</v>
      </c>
      <c r="D106" s="255"/>
      <c r="E106" s="255"/>
      <c r="F106" s="253"/>
      <c r="G106" s="1490" t="s">
        <v>643</v>
      </c>
      <c r="H106" s="255"/>
      <c r="I106" s="255"/>
      <c r="J106" s="253"/>
      <c r="K106" s="1491" t="s">
        <v>157</v>
      </c>
      <c r="L106" s="1492" t="s">
        <v>158</v>
      </c>
      <c r="M106" s="85"/>
      <c r="N106" s="85"/>
      <c r="O106" s="85"/>
      <c r="P106" s="85"/>
      <c r="Q106" s="85"/>
      <c r="R106" s="85"/>
      <c r="S106" s="85"/>
      <c r="T106" s="85"/>
      <c r="U106" s="85"/>
      <c r="V106" s="85"/>
      <c r="W106" s="85"/>
      <c r="X106" s="85"/>
      <c r="Y106" s="85"/>
      <c r="Z106" s="85"/>
      <c r="AA106" s="85"/>
      <c r="AB106" s="86"/>
      <c r="AC106" s="1493" t="s">
        <v>644</v>
      </c>
      <c r="AD106" s="255"/>
      <c r="AE106" s="255"/>
      <c r="AF106" s="253"/>
      <c r="AG106" s="1494" t="s">
        <v>160</v>
      </c>
      <c r="AH106" s="255"/>
      <c r="AI106" s="253"/>
      <c r="AJ106" s="1494" t="s">
        <v>161</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95"/>
      <c r="L107" s="1492" t="s">
        <v>162</v>
      </c>
      <c r="M107" s="86"/>
      <c r="N107" s="1496" t="s">
        <v>645</v>
      </c>
      <c r="O107" s="86"/>
      <c r="P107" s="1497" t="s">
        <v>164</v>
      </c>
      <c r="Q107" s="263"/>
      <c r="R107" s="1498" t="s">
        <v>165</v>
      </c>
      <c r="S107" s="263"/>
      <c r="T107" s="1497" t="s">
        <v>166</v>
      </c>
      <c r="W107" s="263"/>
      <c r="X107" s="1498" t="s">
        <v>646</v>
      </c>
      <c r="Y107" s="263"/>
      <c r="Z107" s="1492" t="s">
        <v>168</v>
      </c>
      <c r="AA107" s="85"/>
      <c r="AB107" s="86"/>
      <c r="AC107" s="1499" t="s">
        <v>169</v>
      </c>
      <c r="AD107" s="251"/>
      <c r="AE107" s="251"/>
      <c r="AF107" s="261"/>
      <c r="AG107" s="1499"/>
      <c r="AH107" s="251"/>
      <c r="AI107" s="261"/>
      <c r="AJ107" s="1499" t="s">
        <v>169</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500">
        <v>1.0</v>
      </c>
      <c r="B108" s="253"/>
      <c r="C108" s="1501"/>
      <c r="D108" s="255"/>
      <c r="E108" s="255"/>
      <c r="F108" s="253"/>
      <c r="G108" s="1502"/>
      <c r="H108" s="255"/>
      <c r="I108" s="255"/>
      <c r="J108" s="253"/>
      <c r="K108" s="1503" t="str">
        <f>+AL208</f>
        <v>#DIV/0!</v>
      </c>
      <c r="L108" s="1504">
        <v>1.0</v>
      </c>
      <c r="M108" s="253"/>
      <c r="N108" s="1504">
        <v>1.0</v>
      </c>
      <c r="O108" s="253"/>
      <c r="P108" s="1504">
        <v>1.0</v>
      </c>
      <c r="Q108" s="255"/>
      <c r="R108" s="1505">
        <v>1.0</v>
      </c>
      <c r="S108" s="253"/>
      <c r="T108" s="1504">
        <v>1.0</v>
      </c>
      <c r="U108" s="255"/>
      <c r="V108" s="255"/>
      <c r="W108" s="253"/>
      <c r="X108" s="1506">
        <v>1.0</v>
      </c>
      <c r="Y108" s="255"/>
      <c r="Z108" s="1507">
        <f t="shared" ref="Z108:Z110" si="1">ROUND(N108*L108*P108*R108*T108*X108,2)</f>
        <v>1</v>
      </c>
      <c r="AB108" s="263"/>
      <c r="AC108" s="1508" t="str">
        <f t="shared" ref="AC108:AC110" si="2">+Z108*K108</f>
        <v>#DIV/0!</v>
      </c>
      <c r="AD108" s="467"/>
      <c r="AE108" s="467"/>
      <c r="AF108" s="468"/>
      <c r="AG108" s="1509">
        <v>1.0</v>
      </c>
      <c r="AI108" s="263"/>
      <c r="AJ108" s="1510" t="str">
        <f>G108*AC108*AG108</f>
        <v>#DIV/0!</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511">
        <v>2.0</v>
      </c>
      <c r="B109" s="263"/>
      <c r="C109" s="1512"/>
      <c r="F109" s="263"/>
      <c r="G109" s="1513"/>
      <c r="J109" s="263"/>
      <c r="K109" s="1514" t="str">
        <f t="shared" ref="K109:K110" si="3">+K108</f>
        <v>#DIV/0!</v>
      </c>
      <c r="L109" s="1515">
        <v>1.0</v>
      </c>
      <c r="M109" s="263"/>
      <c r="N109" s="1515">
        <v>1.0</v>
      </c>
      <c r="O109" s="263"/>
      <c r="P109" s="1515">
        <v>1.0</v>
      </c>
      <c r="R109" s="1516">
        <v>1.0</v>
      </c>
      <c r="S109" s="263"/>
      <c r="T109" s="1515">
        <v>1.0</v>
      </c>
      <c r="W109" s="263"/>
      <c r="X109" s="1517">
        <v>1.0</v>
      </c>
      <c r="Z109" s="1507">
        <f t="shared" si="1"/>
        <v>1</v>
      </c>
      <c r="AB109" s="263"/>
      <c r="AC109" s="1508" t="str">
        <f t="shared" si="2"/>
        <v>#DIV/0!</v>
      </c>
      <c r="AD109" s="467"/>
      <c r="AE109" s="467"/>
      <c r="AF109" s="468"/>
      <c r="AG109" s="1518">
        <v>1.0</v>
      </c>
      <c r="AI109" s="263"/>
      <c r="AJ109" s="1510" t="str">
        <f t="shared" ref="AJ109:AJ110" si="4">+AC109*G109*AG109</f>
        <v>#DIV/0!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519">
        <v>3.0</v>
      </c>
      <c r="B110" s="261"/>
      <c r="C110" s="1520"/>
      <c r="D110" s="251"/>
      <c r="E110" s="251"/>
      <c r="F110" s="261"/>
      <c r="G110" s="1521"/>
      <c r="H110" s="251"/>
      <c r="I110" s="251"/>
      <c r="J110" s="261"/>
      <c r="K110" s="1522" t="str">
        <f t="shared" si="3"/>
        <v>#DIV/0!</v>
      </c>
      <c r="L110" s="1515">
        <v>1.0</v>
      </c>
      <c r="M110" s="263"/>
      <c r="N110" s="1523">
        <v>1.0</v>
      </c>
      <c r="O110" s="261"/>
      <c r="P110" s="1523">
        <v>1.0</v>
      </c>
      <c r="Q110" s="251"/>
      <c r="R110" s="1524">
        <v>1.0</v>
      </c>
      <c r="S110" s="261"/>
      <c r="T110" s="1523">
        <v>1.0</v>
      </c>
      <c r="U110" s="251"/>
      <c r="V110" s="251"/>
      <c r="W110" s="261"/>
      <c r="X110" s="1525">
        <v>1.0</v>
      </c>
      <c r="Y110" s="251"/>
      <c r="Z110" s="1507">
        <f t="shared" si="1"/>
        <v>1</v>
      </c>
      <c r="AB110" s="263"/>
      <c r="AC110" s="1526" t="str">
        <f t="shared" si="2"/>
        <v>#DIV/0!</v>
      </c>
      <c r="AD110" s="473"/>
      <c r="AE110" s="473"/>
      <c r="AF110" s="474"/>
      <c r="AG110" s="1527">
        <v>1.0</v>
      </c>
      <c r="AH110" s="251"/>
      <c r="AI110" s="261"/>
      <c r="AJ110" s="1510" t="str">
        <f t="shared" si="4"/>
        <v>#DIV/0!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519" t="s">
        <v>170</v>
      </c>
      <c r="B111" s="261"/>
      <c r="C111" s="1528"/>
      <c r="D111" s="85"/>
      <c r="E111" s="85"/>
      <c r="F111" s="86"/>
      <c r="G111" s="1528">
        <f>SUM(G108:J110)</f>
        <v>0</v>
      </c>
      <c r="H111" s="85"/>
      <c r="I111" s="85"/>
      <c r="J111" s="86"/>
      <c r="K111" s="1529" t="s">
        <v>171</v>
      </c>
      <c r="L111" s="1529"/>
      <c r="M111" s="1529"/>
      <c r="N111" s="1529"/>
      <c r="O111" s="1529"/>
      <c r="P111" s="1529"/>
      <c r="Q111" s="1529"/>
      <c r="R111" s="1529"/>
      <c r="S111" s="1529"/>
      <c r="T111" s="1529"/>
      <c r="U111" s="1529"/>
      <c r="V111" s="1529"/>
      <c r="W111" s="1529"/>
      <c r="X111" s="1529"/>
      <c r="Y111" s="1529"/>
      <c r="Z111" s="1529"/>
      <c r="AA111" s="1529"/>
      <c r="AB111" s="1529"/>
      <c r="AC111" s="1530" t="str">
        <f>AVERAGE(AC108:AF110)</f>
        <v>#DIV/0!</v>
      </c>
      <c r="AD111" s="255"/>
      <c r="AE111" s="255"/>
      <c r="AF111" s="255"/>
      <c r="AG111" s="1531" t="s">
        <v>172</v>
      </c>
      <c r="AH111" s="255"/>
      <c r="AI111" s="255"/>
      <c r="AJ111" s="1193" t="str">
        <f>SUM(AJ108:AM110)</f>
        <v>#DIV/0!</v>
      </c>
      <c r="AK111" s="85"/>
      <c r="AL111" s="85"/>
      <c r="AM111" s="86"/>
      <c r="AN111" s="31"/>
      <c r="AO111" s="31"/>
      <c r="AP111" s="1532" t="s">
        <v>173</v>
      </c>
      <c r="AQ111" s="1533"/>
      <c r="AR111" s="1533"/>
      <c r="AS111" s="1534"/>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1535"/>
      <c r="AQ112" s="1536"/>
      <c r="AR112" s="1536"/>
      <c r="AS112" s="1537"/>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174</v>
      </c>
      <c r="D113" s="308"/>
      <c r="E113" s="309"/>
      <c r="F113" s="309"/>
      <c r="G113" s="309"/>
      <c r="H113" s="309"/>
      <c r="I113" s="310"/>
      <c r="J113" s="310"/>
      <c r="K113" s="309"/>
      <c r="L113" s="309"/>
      <c r="M113" s="309"/>
      <c r="N113" s="311" t="s">
        <v>175</v>
      </c>
      <c r="O113" s="255"/>
      <c r="P113" s="253"/>
      <c r="Q113" s="312" t="s">
        <v>176</v>
      </c>
      <c r="R113" s="85"/>
      <c r="S113" s="85"/>
      <c r="T113" s="85"/>
      <c r="U113" s="85"/>
      <c r="V113" s="85"/>
      <c r="W113" s="85"/>
      <c r="X113" s="85"/>
      <c r="Y113" s="85"/>
      <c r="Z113" s="85"/>
      <c r="AA113" s="85"/>
      <c r="AB113" s="86"/>
      <c r="AC113" s="1488" t="s">
        <v>177</v>
      </c>
      <c r="AD113" s="255"/>
      <c r="AE113" s="255"/>
      <c r="AF113" s="253"/>
      <c r="AG113" s="1488" t="s">
        <v>160</v>
      </c>
      <c r="AH113" s="255"/>
      <c r="AI113" s="253"/>
      <c r="AJ113" s="1488" t="s">
        <v>161</v>
      </c>
      <c r="AK113" s="255"/>
      <c r="AL113" s="255"/>
      <c r="AM113" s="253"/>
      <c r="AN113" s="315"/>
      <c r="AO113" s="315"/>
      <c r="AP113" s="1538"/>
      <c r="AQ113" s="1539"/>
      <c r="AR113" s="1539"/>
      <c r="AS113" s="1540"/>
      <c r="AT113" s="31"/>
      <c r="AU113" s="31"/>
      <c r="AV113" s="31"/>
      <c r="AW113" s="31"/>
      <c r="AX113" s="31"/>
      <c r="AY113" s="31"/>
      <c r="AZ113" s="31"/>
      <c r="BA113" s="31"/>
      <c r="BB113" s="31"/>
      <c r="BC113" s="31"/>
      <c r="BD113" s="31"/>
      <c r="BE113" s="31"/>
      <c r="BF113" s="31"/>
      <c r="BG113" s="31"/>
      <c r="BH113" s="315"/>
      <c r="BI113" s="315"/>
      <c r="BJ113" s="315"/>
      <c r="BK113" s="315"/>
      <c r="BL113" s="1541" t="s">
        <v>647</v>
      </c>
      <c r="BM113" s="807"/>
      <c r="BN113" s="317" t="s">
        <v>648</v>
      </c>
      <c r="BO113" s="31"/>
      <c r="BP113" s="31"/>
      <c r="BQ113" s="318"/>
      <c r="BR113" s="318"/>
      <c r="BS113" s="318"/>
      <c r="BT113" s="318"/>
      <c r="BU113" s="315"/>
      <c r="BV113" s="315"/>
      <c r="BW113" s="315"/>
      <c r="BX113" s="315"/>
      <c r="BY113" s="92"/>
      <c r="BZ113" s="92"/>
    </row>
    <row r="114" ht="12.0" customHeight="1">
      <c r="A114" s="1500" t="s">
        <v>178</v>
      </c>
      <c r="B114" s="253"/>
      <c r="C114" s="1542" t="s">
        <v>179</v>
      </c>
      <c r="D114" s="85"/>
      <c r="E114" s="85"/>
      <c r="F114" s="85"/>
      <c r="G114" s="85"/>
      <c r="H114" s="85"/>
      <c r="I114" s="85"/>
      <c r="J114" s="86"/>
      <c r="K114" s="320" t="s">
        <v>156</v>
      </c>
      <c r="L114" s="255"/>
      <c r="M114" s="253"/>
      <c r="N114" s="260"/>
      <c r="O114" s="251"/>
      <c r="P114" s="261"/>
      <c r="Q114" s="199" t="s">
        <v>180</v>
      </c>
      <c r="S114" s="263"/>
      <c r="T114" s="321" t="s">
        <v>181</v>
      </c>
      <c r="U114" s="251"/>
      <c r="V114" s="251"/>
      <c r="W114" s="261"/>
      <c r="X114" s="322" t="s">
        <v>182</v>
      </c>
      <c r="Y114" s="263"/>
      <c r="Z114" s="323" t="s">
        <v>129</v>
      </c>
      <c r="AA114" s="251"/>
      <c r="AB114" s="261"/>
      <c r="AC114" s="1497" t="s">
        <v>183</v>
      </c>
      <c r="AF114" s="263"/>
      <c r="AG114" s="1499"/>
      <c r="AH114" s="251"/>
      <c r="AI114" s="261"/>
      <c r="AJ114" s="1497" t="s">
        <v>169</v>
      </c>
      <c r="AM114" s="263"/>
      <c r="AN114" s="31"/>
      <c r="AO114" s="31"/>
      <c r="AP114" s="409"/>
      <c r="AQ114" s="410"/>
      <c r="AR114" s="1543" t="s">
        <v>184</v>
      </c>
      <c r="AS114" s="411"/>
      <c r="AT114" s="31"/>
      <c r="AU114" s="31"/>
      <c r="AV114" s="31"/>
      <c r="AW114" s="31"/>
      <c r="AX114" s="31"/>
      <c r="AY114" s="31"/>
      <c r="AZ114" s="31"/>
      <c r="BA114" s="31"/>
      <c r="BB114" s="31"/>
      <c r="BC114" s="31"/>
      <c r="BD114" s="31"/>
      <c r="BE114" s="31"/>
      <c r="BF114" s="31"/>
      <c r="BG114" s="31"/>
      <c r="BH114" s="31"/>
      <c r="BI114" s="31"/>
      <c r="BJ114" s="31"/>
      <c r="BK114" s="31"/>
      <c r="BL114" s="1544" t="s">
        <v>649</v>
      </c>
      <c r="BM114" s="315"/>
      <c r="BN114" s="1545" t="s">
        <v>650</v>
      </c>
      <c r="BO114" s="315"/>
      <c r="BP114" s="318"/>
      <c r="BQ114" s="328"/>
      <c r="BR114" s="328"/>
      <c r="BS114" s="328"/>
      <c r="BT114" s="328"/>
      <c r="BU114" s="31"/>
      <c r="BV114" s="31"/>
      <c r="BW114" s="31"/>
      <c r="BX114" s="31"/>
      <c r="BY114" s="34"/>
      <c r="BZ114" s="34"/>
    </row>
    <row r="115">
      <c r="A115" s="1511" t="s">
        <v>185</v>
      </c>
      <c r="B115" s="263"/>
      <c r="C115" s="1546"/>
      <c r="D115" s="255"/>
      <c r="E115" s="255"/>
      <c r="F115" s="255"/>
      <c r="G115" s="255"/>
      <c r="H115" s="255"/>
      <c r="I115" s="255"/>
      <c r="J115" s="253"/>
      <c r="K115" s="331"/>
      <c r="L115" s="255"/>
      <c r="M115" s="253"/>
      <c r="N115" s="331"/>
      <c r="O115" s="255"/>
      <c r="P115" s="253"/>
      <c r="Q115" s="332">
        <v>1.0</v>
      </c>
      <c r="R115" s="255"/>
      <c r="S115" s="253"/>
      <c r="T115" s="333">
        <v>0.85</v>
      </c>
      <c r="U115" s="255"/>
      <c r="V115" s="255"/>
      <c r="W115" s="253"/>
      <c r="X115" s="334">
        <v>1.0</v>
      </c>
      <c r="Y115" s="253"/>
      <c r="Z115" s="334">
        <f t="shared" ref="Z115:Z122" si="5">IF(AS115&lt;0.2,"0.20",AS115)</f>
        <v>0.7</v>
      </c>
      <c r="AA115" s="255"/>
      <c r="AB115" s="253"/>
      <c r="AC115" s="1547">
        <f t="shared" ref="AC115:AC122" si="6">Z115*X115*T115*N115*Q115</f>
        <v>0</v>
      </c>
      <c r="AD115" s="255"/>
      <c r="AE115" s="255"/>
      <c r="AF115" s="253"/>
      <c r="AG115" s="1548">
        <f>AG108</f>
        <v>1</v>
      </c>
      <c r="AH115" s="255"/>
      <c r="AI115" s="253"/>
      <c r="AJ115" s="1549">
        <f t="shared" ref="AJ115:AJ122" si="7">K115*AC115*AG115</f>
        <v>0</v>
      </c>
      <c r="AK115" s="255"/>
      <c r="AL115" s="255"/>
      <c r="AM115" s="253"/>
      <c r="AN115" s="31"/>
      <c r="AO115" s="31"/>
      <c r="AP115" s="338">
        <v>60.0</v>
      </c>
      <c r="AQ115" s="1550">
        <v>20.0</v>
      </c>
      <c r="AR115" s="340">
        <f t="shared" ref="AR115:AR122" si="8">AP115-AQ115</f>
        <v>40</v>
      </c>
      <c r="AS115" s="341">
        <f t="shared" ref="AS115:AS122" si="9">ROUND(((0.1*AP115)+(0.9*AR115))/AP115,2)</f>
        <v>0.7</v>
      </c>
      <c r="AT115" s="31"/>
      <c r="AU115" s="31"/>
      <c r="AV115" s="31"/>
      <c r="AW115" s="31"/>
      <c r="AX115" s="31"/>
      <c r="AY115" s="31"/>
      <c r="AZ115" s="31"/>
      <c r="BA115" s="31"/>
      <c r="BB115" s="31"/>
      <c r="BC115" s="31"/>
      <c r="BD115" s="31"/>
      <c r="BE115" s="31"/>
      <c r="BF115" s="31"/>
      <c r="BG115" s="31"/>
      <c r="BH115" s="31"/>
      <c r="BI115" s="31"/>
      <c r="BJ115" s="31"/>
      <c r="BK115" s="31"/>
      <c r="BL115" s="1551" t="s">
        <v>651</v>
      </c>
      <c r="BM115" s="31"/>
      <c r="BN115" s="328" t="str">
        <f>'OPI Terreno'!A147</f>
        <v>INFORMACIÓN PROPORCIONADA POR:</v>
      </c>
      <c r="BO115" s="328"/>
      <c r="BP115" s="328"/>
      <c r="BQ115" s="328"/>
      <c r="BR115" s="328"/>
      <c r="BS115" s="328"/>
      <c r="BT115" s="328"/>
      <c r="BU115" s="31"/>
      <c r="BV115" s="31"/>
      <c r="BW115" s="31"/>
      <c r="BX115" s="31"/>
      <c r="BY115" s="34"/>
      <c r="BZ115" s="34"/>
    </row>
    <row r="116">
      <c r="A116" s="1511" t="s">
        <v>186</v>
      </c>
      <c r="B116" s="263"/>
      <c r="C116" s="1552"/>
      <c r="J116" s="263"/>
      <c r="K116" s="343"/>
      <c r="M116" s="263"/>
      <c r="N116" s="343"/>
      <c r="P116" s="263"/>
      <c r="Q116" s="344">
        <v>1.0</v>
      </c>
      <c r="S116" s="263"/>
      <c r="T116" s="345">
        <v>0.0</v>
      </c>
      <c r="W116" s="263"/>
      <c r="X116" s="346">
        <v>1.0</v>
      </c>
      <c r="Y116" s="263"/>
      <c r="Z116" s="1553">
        <f t="shared" si="5"/>
        <v>1</v>
      </c>
      <c r="AB116" s="263"/>
      <c r="AC116" s="1554">
        <f t="shared" si="6"/>
        <v>0</v>
      </c>
      <c r="AF116" s="263"/>
      <c r="AG116" s="1555">
        <v>1.0</v>
      </c>
      <c r="AI116" s="263"/>
      <c r="AJ116" s="1556">
        <f t="shared" si="7"/>
        <v>0</v>
      </c>
      <c r="AM116" s="263"/>
      <c r="AN116" s="31"/>
      <c r="AO116" s="31"/>
      <c r="AP116" s="1557">
        <v>60.0</v>
      </c>
      <c r="AQ116" s="1558"/>
      <c r="AR116" s="1559">
        <f t="shared" si="8"/>
        <v>60</v>
      </c>
      <c r="AS116" s="1560">
        <f t="shared" si="9"/>
        <v>1</v>
      </c>
      <c r="AT116" s="31"/>
      <c r="AU116" s="31"/>
      <c r="AV116" s="31"/>
      <c r="AW116" s="31"/>
      <c r="AX116" s="31"/>
      <c r="AY116" s="31"/>
      <c r="AZ116" s="31"/>
      <c r="BA116" s="31"/>
      <c r="BB116" s="31"/>
      <c r="BC116" s="31"/>
      <c r="BD116" s="31"/>
      <c r="BE116" s="31"/>
      <c r="BF116" s="31"/>
      <c r="BG116" s="31"/>
      <c r="BH116" s="31"/>
      <c r="BI116" s="31"/>
      <c r="BJ116" s="31"/>
      <c r="BK116" s="31"/>
      <c r="BL116" s="1561"/>
      <c r="BM116" s="31"/>
      <c r="BN116" s="1562" t="s">
        <v>652</v>
      </c>
      <c r="BO116" s="328"/>
      <c r="BP116" s="328"/>
      <c r="BQ116" s="328"/>
      <c r="BR116" s="328"/>
      <c r="BS116" s="328"/>
      <c r="BT116" s="328"/>
      <c r="BU116" s="31"/>
      <c r="BV116" s="31"/>
      <c r="BW116" s="31"/>
      <c r="BX116" s="31"/>
      <c r="BY116" s="34"/>
      <c r="BZ116" s="34"/>
    </row>
    <row r="117">
      <c r="A117" s="1511" t="s">
        <v>187</v>
      </c>
      <c r="B117" s="263"/>
      <c r="C117" s="1552"/>
      <c r="J117" s="263"/>
      <c r="K117" s="343"/>
      <c r="M117" s="263"/>
      <c r="N117" s="343"/>
      <c r="P117" s="263"/>
      <c r="Q117" s="344">
        <v>1.0</v>
      </c>
      <c r="S117" s="263"/>
      <c r="T117" s="345">
        <v>0.0</v>
      </c>
      <c r="W117" s="263"/>
      <c r="X117" s="346">
        <v>1.0</v>
      </c>
      <c r="Y117" s="263"/>
      <c r="Z117" s="1553">
        <f t="shared" si="5"/>
        <v>1</v>
      </c>
      <c r="AB117" s="263"/>
      <c r="AC117" s="1554">
        <f t="shared" si="6"/>
        <v>0</v>
      </c>
      <c r="AF117" s="263"/>
      <c r="AG117" s="1555">
        <v>1.0</v>
      </c>
      <c r="AI117" s="263"/>
      <c r="AJ117" s="1556">
        <f t="shared" si="7"/>
        <v>0</v>
      </c>
      <c r="AM117" s="263"/>
      <c r="AN117" s="31"/>
      <c r="AO117" s="31"/>
      <c r="AP117" s="1563">
        <v>60.0</v>
      </c>
      <c r="AQ117" s="1564"/>
      <c r="AR117" s="1559">
        <f t="shared" si="8"/>
        <v>60</v>
      </c>
      <c r="AS117" s="1560">
        <f t="shared" si="9"/>
        <v>1</v>
      </c>
      <c r="AT117" s="1565"/>
      <c r="AU117" s="1565"/>
      <c r="AV117" s="1565"/>
      <c r="AW117" s="1565"/>
      <c r="AX117" s="1565"/>
      <c r="AY117" s="1565"/>
      <c r="AZ117" s="1565"/>
      <c r="BA117" s="1565"/>
      <c r="BB117" s="1565"/>
      <c r="BC117" s="1565"/>
      <c r="BD117" s="1565"/>
      <c r="BE117" s="1565"/>
      <c r="BF117" s="352">
        <f t="shared" ref="BF117:BF122" si="10">AP117-AQ117</f>
        <v>60</v>
      </c>
      <c r="BG117" s="353">
        <f t="shared" ref="BG117:BG122" si="11">ROUND(((0.1*AP117)+(0.9*BF117))/AP117,2)</f>
        <v>1</v>
      </c>
      <c r="BH117" s="31"/>
      <c r="BI117" s="31"/>
      <c r="BJ117" s="31"/>
      <c r="BK117" s="31"/>
      <c r="BL117" s="1561"/>
      <c r="BM117" s="31"/>
      <c r="BN117" s="328"/>
      <c r="BO117" s="328"/>
      <c r="BP117" s="328"/>
      <c r="BQ117" s="328"/>
      <c r="BR117" s="328"/>
      <c r="BS117" s="328"/>
      <c r="BT117" s="328"/>
      <c r="BU117" s="31"/>
      <c r="BV117" s="31"/>
      <c r="BW117" s="31"/>
      <c r="BX117" s="31"/>
      <c r="BY117" s="34"/>
      <c r="BZ117" s="34"/>
    </row>
    <row r="118" ht="11.25" customHeight="1">
      <c r="A118" s="1511" t="s">
        <v>188</v>
      </c>
      <c r="B118" s="263"/>
      <c r="C118" s="1511"/>
      <c r="J118" s="263"/>
      <c r="K118" s="343"/>
      <c r="M118" s="263"/>
      <c r="N118" s="343"/>
      <c r="P118" s="263"/>
      <c r="Q118" s="344">
        <v>1.0</v>
      </c>
      <c r="S118" s="263"/>
      <c r="T118" s="345">
        <v>0.0</v>
      </c>
      <c r="W118" s="263"/>
      <c r="X118" s="346">
        <v>1.0</v>
      </c>
      <c r="Y118" s="263"/>
      <c r="Z118" s="1553">
        <f t="shared" si="5"/>
        <v>1</v>
      </c>
      <c r="AB118" s="263"/>
      <c r="AC118" s="1554">
        <f t="shared" si="6"/>
        <v>0</v>
      </c>
      <c r="AF118" s="263"/>
      <c r="AG118" s="1555">
        <v>1.0</v>
      </c>
      <c r="AI118" s="263"/>
      <c r="AJ118" s="1556">
        <f t="shared" si="7"/>
        <v>0</v>
      </c>
      <c r="AM118" s="263"/>
      <c r="AN118" s="31"/>
      <c r="AO118" s="31"/>
      <c r="AP118" s="1557">
        <v>60.0</v>
      </c>
      <c r="AQ118" s="1558"/>
      <c r="AR118" s="1559">
        <f t="shared" si="8"/>
        <v>60</v>
      </c>
      <c r="AS118" s="1560">
        <f t="shared" si="9"/>
        <v>1</v>
      </c>
      <c r="AT118" s="1566"/>
      <c r="AU118" s="1566"/>
      <c r="AV118" s="1566"/>
      <c r="AW118" s="1566"/>
      <c r="AX118" s="1566"/>
      <c r="AY118" s="1566"/>
      <c r="AZ118" s="1566"/>
      <c r="BA118" s="1566"/>
      <c r="BB118" s="1566"/>
      <c r="BC118" s="1566"/>
      <c r="BD118" s="1566"/>
      <c r="BE118" s="1566"/>
      <c r="BF118" s="1559">
        <f t="shared" si="10"/>
        <v>60</v>
      </c>
      <c r="BG118" s="1560">
        <f t="shared" si="11"/>
        <v>1</v>
      </c>
      <c r="BH118" s="31"/>
      <c r="BI118" s="31"/>
      <c r="BJ118" s="31"/>
      <c r="BK118" s="31"/>
      <c r="BL118" s="1561"/>
      <c r="BM118" s="31"/>
      <c r="BN118" s="328"/>
      <c r="BO118" s="328"/>
      <c r="BP118" s="328"/>
      <c r="BQ118" s="328"/>
      <c r="BR118" s="328"/>
      <c r="BS118" s="328"/>
      <c r="BT118" s="328"/>
      <c r="BU118" s="31"/>
      <c r="BV118" s="31"/>
      <c r="BW118" s="31"/>
      <c r="BX118" s="31"/>
      <c r="BY118" s="34"/>
      <c r="BZ118" s="34"/>
    </row>
    <row r="119" ht="11.25" customHeight="1">
      <c r="A119" s="1511" t="s">
        <v>189</v>
      </c>
      <c r="B119" s="365"/>
      <c r="C119" s="1567"/>
      <c r="J119" s="1568"/>
      <c r="K119" s="343"/>
      <c r="M119" s="263"/>
      <c r="N119" s="343"/>
      <c r="P119" s="263"/>
      <c r="Q119" s="344">
        <v>1.0</v>
      </c>
      <c r="S119" s="263"/>
      <c r="T119" s="345">
        <v>0.0</v>
      </c>
      <c r="W119" s="263"/>
      <c r="X119" s="346">
        <v>1.0</v>
      </c>
      <c r="Y119" s="263"/>
      <c r="Z119" s="1553">
        <f t="shared" si="5"/>
        <v>1</v>
      </c>
      <c r="AB119" s="263"/>
      <c r="AC119" s="1554">
        <f t="shared" si="6"/>
        <v>0</v>
      </c>
      <c r="AF119" s="263"/>
      <c r="AG119" s="1569">
        <v>1.0</v>
      </c>
      <c r="AI119" s="263"/>
      <c r="AJ119" s="1556">
        <f t="shared" si="7"/>
        <v>0</v>
      </c>
      <c r="AM119" s="263"/>
      <c r="AN119" s="31"/>
      <c r="AO119" s="31"/>
      <c r="AP119" s="1557">
        <v>60.0</v>
      </c>
      <c r="AQ119" s="1558"/>
      <c r="AR119" s="1559">
        <f t="shared" si="8"/>
        <v>60</v>
      </c>
      <c r="AS119" s="1560">
        <f t="shared" si="9"/>
        <v>1</v>
      </c>
      <c r="AT119" s="1565"/>
      <c r="AU119" s="1565"/>
      <c r="AV119" s="1565"/>
      <c r="AW119" s="1565"/>
      <c r="AX119" s="1565"/>
      <c r="AY119" s="1565"/>
      <c r="AZ119" s="1565"/>
      <c r="BA119" s="1565"/>
      <c r="BB119" s="1565"/>
      <c r="BC119" s="1565"/>
      <c r="BD119" s="1565"/>
      <c r="BE119" s="1565"/>
      <c r="BF119" s="352">
        <f t="shared" si="10"/>
        <v>60</v>
      </c>
      <c r="BG119" s="419">
        <f t="shared" si="11"/>
        <v>1</v>
      </c>
      <c r="BH119" s="31"/>
      <c r="BI119" s="31"/>
      <c r="BJ119" s="31"/>
      <c r="BK119" s="31"/>
      <c r="BL119" s="1561"/>
      <c r="BM119" s="31"/>
      <c r="BN119" s="328"/>
      <c r="BO119" s="328"/>
      <c r="BP119" s="328"/>
      <c r="BQ119" s="328"/>
      <c r="BR119" s="328"/>
      <c r="BS119" s="328"/>
      <c r="BT119" s="328"/>
      <c r="BU119" s="31"/>
      <c r="BV119" s="31"/>
      <c r="BW119" s="31"/>
      <c r="BX119" s="31"/>
      <c r="BY119" s="34"/>
      <c r="BZ119" s="34"/>
    </row>
    <row r="120" ht="11.25" customHeight="1">
      <c r="A120" s="1511" t="s">
        <v>190</v>
      </c>
      <c r="B120" s="365"/>
      <c r="C120" s="1567"/>
      <c r="J120" s="1568"/>
      <c r="K120" s="343"/>
      <c r="M120" s="263"/>
      <c r="N120" s="343"/>
      <c r="P120" s="263"/>
      <c r="Q120" s="344">
        <v>1.0</v>
      </c>
      <c r="S120" s="263"/>
      <c r="T120" s="345">
        <v>0.0</v>
      </c>
      <c r="W120" s="263"/>
      <c r="X120" s="346">
        <v>1.0</v>
      </c>
      <c r="Y120" s="263"/>
      <c r="Z120" s="1553">
        <f t="shared" si="5"/>
        <v>1</v>
      </c>
      <c r="AB120" s="263"/>
      <c r="AC120" s="1554">
        <f t="shared" si="6"/>
        <v>0</v>
      </c>
      <c r="AF120" s="263"/>
      <c r="AG120" s="1569">
        <v>1.0</v>
      </c>
      <c r="AI120" s="263"/>
      <c r="AJ120" s="1556">
        <f t="shared" si="7"/>
        <v>0</v>
      </c>
      <c r="AM120" s="263"/>
      <c r="AN120" s="31"/>
      <c r="AO120" s="31"/>
      <c r="AP120" s="1557">
        <v>60.0</v>
      </c>
      <c r="AQ120" s="1558"/>
      <c r="AR120" s="1559">
        <f t="shared" si="8"/>
        <v>60</v>
      </c>
      <c r="AS120" s="1560">
        <f t="shared" si="9"/>
        <v>1</v>
      </c>
      <c r="AT120" s="1565"/>
      <c r="AU120" s="1565"/>
      <c r="AV120" s="1565"/>
      <c r="AW120" s="1565"/>
      <c r="AX120" s="1565"/>
      <c r="AY120" s="1565"/>
      <c r="AZ120" s="1565"/>
      <c r="BA120" s="1565"/>
      <c r="BB120" s="1565"/>
      <c r="BC120" s="1565"/>
      <c r="BD120" s="1565"/>
      <c r="BE120" s="1565"/>
      <c r="BF120" s="352">
        <f t="shared" si="10"/>
        <v>60</v>
      </c>
      <c r="BG120" s="419">
        <f t="shared" si="11"/>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customHeight="1">
      <c r="A121" s="1511" t="s">
        <v>191</v>
      </c>
      <c r="B121" s="263"/>
      <c r="C121" s="1567"/>
      <c r="J121" s="1568"/>
      <c r="K121" s="343"/>
      <c r="M121" s="263"/>
      <c r="N121" s="343"/>
      <c r="P121" s="263"/>
      <c r="Q121" s="344">
        <v>1.0</v>
      </c>
      <c r="S121" s="263"/>
      <c r="T121" s="345">
        <v>0.0</v>
      </c>
      <c r="W121" s="263"/>
      <c r="X121" s="346">
        <v>1.0</v>
      </c>
      <c r="Y121" s="263"/>
      <c r="Z121" s="1553">
        <f t="shared" si="5"/>
        <v>1</v>
      </c>
      <c r="AB121" s="263"/>
      <c r="AC121" s="1554">
        <f t="shared" si="6"/>
        <v>0</v>
      </c>
      <c r="AF121" s="263"/>
      <c r="AG121" s="1569">
        <v>1.0</v>
      </c>
      <c r="AI121" s="263"/>
      <c r="AJ121" s="1556">
        <f t="shared" si="7"/>
        <v>0</v>
      </c>
      <c r="AM121" s="263"/>
      <c r="AN121" s="31"/>
      <c r="AO121" s="31"/>
      <c r="AP121" s="1557">
        <v>60.0</v>
      </c>
      <c r="AQ121" s="1558"/>
      <c r="AR121" s="1559">
        <f t="shared" si="8"/>
        <v>60</v>
      </c>
      <c r="AS121" s="1560">
        <f t="shared" si="9"/>
        <v>1</v>
      </c>
      <c r="AT121" s="1565"/>
      <c r="AU121" s="1565"/>
      <c r="AV121" s="1565"/>
      <c r="AW121" s="1565"/>
      <c r="AX121" s="1565"/>
      <c r="AY121" s="1565"/>
      <c r="AZ121" s="1565"/>
      <c r="BA121" s="1565"/>
      <c r="BB121" s="1565"/>
      <c r="BC121" s="1565"/>
      <c r="BD121" s="1565"/>
      <c r="BE121" s="1565"/>
      <c r="BF121" s="352">
        <f t="shared" si="10"/>
        <v>60</v>
      </c>
      <c r="BG121" s="419">
        <f t="shared" si="11"/>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customHeight="1">
      <c r="A122" s="1519" t="s">
        <v>192</v>
      </c>
      <c r="B122" s="371"/>
      <c r="C122" s="1570"/>
      <c r="D122" s="251"/>
      <c r="E122" s="251"/>
      <c r="F122" s="251"/>
      <c r="G122" s="251"/>
      <c r="H122" s="251"/>
      <c r="I122" s="251"/>
      <c r="J122" s="1571"/>
      <c r="K122" s="343"/>
      <c r="M122" s="263"/>
      <c r="N122" s="343"/>
      <c r="P122" s="263"/>
      <c r="Q122" s="344">
        <v>1.0</v>
      </c>
      <c r="S122" s="263"/>
      <c r="T122" s="345">
        <v>0.0</v>
      </c>
      <c r="W122" s="263"/>
      <c r="X122" s="346">
        <v>1.0</v>
      </c>
      <c r="Y122" s="263"/>
      <c r="Z122" s="1553">
        <f t="shared" si="5"/>
        <v>1</v>
      </c>
      <c r="AB122" s="263"/>
      <c r="AC122" s="1554">
        <f t="shared" si="6"/>
        <v>0</v>
      </c>
      <c r="AF122" s="263"/>
      <c r="AG122" s="1569">
        <v>1.0</v>
      </c>
      <c r="AI122" s="263"/>
      <c r="AJ122" s="1556">
        <f t="shared" si="7"/>
        <v>0</v>
      </c>
      <c r="AM122" s="263"/>
      <c r="AN122" s="31"/>
      <c r="AO122" s="31"/>
      <c r="AP122" s="1557">
        <v>60.0</v>
      </c>
      <c r="AQ122" s="1558"/>
      <c r="AR122" s="1559">
        <f t="shared" si="8"/>
        <v>60</v>
      </c>
      <c r="AS122" s="1560">
        <f t="shared" si="9"/>
        <v>1</v>
      </c>
      <c r="AT122" s="1566"/>
      <c r="AU122" s="1566"/>
      <c r="AV122" s="1566"/>
      <c r="AW122" s="1566"/>
      <c r="AX122" s="1566"/>
      <c r="AY122" s="1566"/>
      <c r="AZ122" s="1566"/>
      <c r="BA122" s="1566"/>
      <c r="BB122" s="1566"/>
      <c r="BC122" s="1566"/>
      <c r="BD122" s="1566"/>
      <c r="BE122" s="1566"/>
      <c r="BF122" s="1559">
        <f t="shared" si="10"/>
        <v>60</v>
      </c>
      <c r="BG122" s="431">
        <f t="shared" si="11"/>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572"/>
      <c r="B123" s="86"/>
      <c r="C123" s="1573" t="s">
        <v>193</v>
      </c>
      <c r="D123" s="85"/>
      <c r="E123" s="85"/>
      <c r="F123" s="85"/>
      <c r="G123" s="85"/>
      <c r="H123" s="85"/>
      <c r="I123" s="85"/>
      <c r="J123" s="1574"/>
      <c r="K123" s="1575">
        <f>SUM(K115:K122)</f>
        <v>0</v>
      </c>
      <c r="L123" s="85"/>
      <c r="M123" s="86"/>
      <c r="N123" s="1576"/>
      <c r="O123" s="1577"/>
      <c r="P123" s="1577"/>
      <c r="Q123" s="1577"/>
      <c r="R123" s="1577"/>
      <c r="S123" s="1577"/>
      <c r="T123" s="1577"/>
      <c r="U123" s="1577"/>
      <c r="V123" s="1577"/>
      <c r="W123" s="1577"/>
      <c r="X123" s="1577"/>
      <c r="Y123" s="1577"/>
      <c r="Z123" s="1574"/>
      <c r="AA123" s="1574"/>
      <c r="AB123" s="1574"/>
      <c r="AC123" s="1577"/>
      <c r="AD123" s="1577"/>
      <c r="AE123" s="1577"/>
      <c r="AF123" s="1496"/>
      <c r="AG123" s="1496"/>
      <c r="AH123" s="1578" t="s">
        <v>194</v>
      </c>
      <c r="AI123" s="1579"/>
      <c r="AJ123" s="1195">
        <f>SUM(AJ115:AJ122)</f>
        <v>0</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1580" t="s">
        <v>173</v>
      </c>
      <c r="AQ124" s="1581"/>
      <c r="AR124" s="1581"/>
      <c r="AS124" s="1582"/>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195</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583"/>
      <c r="AQ125" s="1584"/>
      <c r="AR125" s="1584"/>
      <c r="AS125" s="1585"/>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500" t="s">
        <v>196</v>
      </c>
      <c r="B126" s="255"/>
      <c r="C126" s="255"/>
      <c r="D126" s="255"/>
      <c r="E126" s="255"/>
      <c r="F126" s="255"/>
      <c r="G126" s="255"/>
      <c r="H126" s="255"/>
      <c r="I126" s="253"/>
      <c r="J126" s="320" t="s">
        <v>197</v>
      </c>
      <c r="K126" s="255"/>
      <c r="L126" s="253"/>
      <c r="M126" s="320" t="s">
        <v>198</v>
      </c>
      <c r="N126" s="255"/>
      <c r="O126" s="253"/>
      <c r="P126" s="1500" t="s">
        <v>161</v>
      </c>
      <c r="Q126" s="255"/>
      <c r="R126" s="255"/>
      <c r="S126" s="253"/>
      <c r="T126" s="1500" t="s">
        <v>176</v>
      </c>
      <c r="U126" s="255"/>
      <c r="V126" s="255"/>
      <c r="W126" s="255"/>
      <c r="X126" s="255"/>
      <c r="Y126" s="255"/>
      <c r="Z126" s="255"/>
      <c r="AA126" s="255"/>
      <c r="AB126" s="253"/>
      <c r="AC126" s="1494" t="s">
        <v>177</v>
      </c>
      <c r="AD126" s="255"/>
      <c r="AE126" s="255"/>
      <c r="AF126" s="253"/>
      <c r="AG126" s="1494" t="s">
        <v>160</v>
      </c>
      <c r="AH126" s="255"/>
      <c r="AI126" s="253"/>
      <c r="AJ126" s="1494" t="s">
        <v>161</v>
      </c>
      <c r="AK126" s="255"/>
      <c r="AL126" s="255"/>
      <c r="AM126" s="253"/>
      <c r="AN126" s="31"/>
      <c r="AO126" s="31"/>
      <c r="AP126" s="1586"/>
      <c r="AQ126" s="1587"/>
      <c r="AR126" s="1587"/>
      <c r="AS126" s="1588"/>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519" t="s">
        <v>199</v>
      </c>
      <c r="Q127" s="251"/>
      <c r="R127" s="251"/>
      <c r="S127" s="261"/>
      <c r="T127" s="1542" t="s">
        <v>135</v>
      </c>
      <c r="U127" s="85"/>
      <c r="V127" s="85"/>
      <c r="W127" s="85"/>
      <c r="X127" s="86"/>
      <c r="Y127" s="1589" t="s">
        <v>129</v>
      </c>
      <c r="Z127" s="85"/>
      <c r="AA127" s="85"/>
      <c r="AB127" s="86"/>
      <c r="AC127" s="1499" t="s">
        <v>183</v>
      </c>
      <c r="AD127" s="251"/>
      <c r="AE127" s="251"/>
      <c r="AF127" s="261"/>
      <c r="AG127" s="1499"/>
      <c r="AH127" s="251"/>
      <c r="AI127" s="261"/>
      <c r="AJ127" s="1499" t="s">
        <v>169</v>
      </c>
      <c r="AK127" s="251"/>
      <c r="AL127" s="251"/>
      <c r="AM127" s="261"/>
      <c r="AN127" s="31"/>
      <c r="AO127" s="31"/>
      <c r="AP127" s="1590"/>
      <c r="AQ127" s="1591"/>
      <c r="AR127" s="1592" t="s">
        <v>184</v>
      </c>
      <c r="AS127" s="1593"/>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511" t="s">
        <v>185</v>
      </c>
      <c r="C128" s="1173"/>
      <c r="I128" s="263"/>
      <c r="J128" s="1174"/>
      <c r="L128" s="263"/>
      <c r="M128" s="1488"/>
      <c r="N128" s="255"/>
      <c r="O128" s="253"/>
      <c r="P128" s="1170"/>
      <c r="S128" s="263"/>
      <c r="T128" s="345">
        <v>1.0</v>
      </c>
      <c r="X128" s="263"/>
      <c r="Y128" s="346">
        <f t="shared" ref="Y128:Y130" si="12">+AS129</f>
        <v>0.7</v>
      </c>
      <c r="AB128" s="263"/>
      <c r="AC128" s="1182">
        <f t="shared" ref="AC128:AC143" si="13">P128*T128*Y128</f>
        <v>0</v>
      </c>
      <c r="AF128" s="263"/>
      <c r="AG128" s="1171">
        <v>1.0</v>
      </c>
      <c r="AI128" s="263"/>
      <c r="AJ128" s="1170">
        <f t="shared" ref="AJ128:AJ144" si="14">J128*AC128*AG128</f>
        <v>0</v>
      </c>
      <c r="AM128" s="263"/>
      <c r="AN128" s="31"/>
      <c r="AO128" s="31"/>
      <c r="AP128" s="1594">
        <v>60.0</v>
      </c>
      <c r="AQ128" s="1595">
        <v>20.0</v>
      </c>
      <c r="AR128" s="1596">
        <f t="shared" ref="AR128:AR129" si="15">AP128-AQ128</f>
        <v>40</v>
      </c>
      <c r="AS128" s="1597">
        <f t="shared" ref="AS128:AS129" si="16">ROUND(((0.1*AP128)+(0.9*AR128))/AP128,2)</f>
        <v>0.7</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511" t="s">
        <v>186</v>
      </c>
      <c r="C129" s="1598"/>
      <c r="D129" s="251"/>
      <c r="E129" s="251"/>
      <c r="F129" s="251"/>
      <c r="G129" s="251"/>
      <c r="H129" s="251"/>
      <c r="I129" s="261"/>
      <c r="J129" s="1174"/>
      <c r="L129" s="263"/>
      <c r="M129" s="1175"/>
      <c r="O129" s="263"/>
      <c r="P129" s="1170"/>
      <c r="S129" s="263"/>
      <c r="T129" s="345">
        <v>1.0</v>
      </c>
      <c r="X129" s="263"/>
      <c r="Y129" s="346">
        <f t="shared" si="12"/>
        <v>0.7</v>
      </c>
      <c r="AB129" s="263"/>
      <c r="AC129" s="1182">
        <f t="shared" si="13"/>
        <v>0</v>
      </c>
      <c r="AF129" s="263"/>
      <c r="AG129" s="1171">
        <v>1.0</v>
      </c>
      <c r="AI129" s="263"/>
      <c r="AJ129" s="1170">
        <f t="shared" si="14"/>
        <v>0</v>
      </c>
      <c r="AM129" s="263"/>
      <c r="AN129" s="31"/>
      <c r="AO129" s="31"/>
      <c r="AP129" s="1599">
        <f t="shared" ref="AP129:AP132" si="17">AP128</f>
        <v>60</v>
      </c>
      <c r="AQ129" s="1595">
        <v>20.0</v>
      </c>
      <c r="AR129" s="1596">
        <f t="shared" si="15"/>
        <v>40</v>
      </c>
      <c r="AS129" s="1597">
        <f t="shared" si="16"/>
        <v>0.7</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511" t="s">
        <v>187</v>
      </c>
      <c r="C130" s="1598"/>
      <c r="D130" s="251"/>
      <c r="E130" s="251"/>
      <c r="F130" s="251"/>
      <c r="G130" s="251"/>
      <c r="H130" s="251"/>
      <c r="I130" s="261"/>
      <c r="J130" s="1174"/>
      <c r="L130" s="263"/>
      <c r="M130" s="1175"/>
      <c r="O130" s="263"/>
      <c r="P130" s="1170"/>
      <c r="S130" s="263"/>
      <c r="T130" s="346"/>
      <c r="X130" s="263"/>
      <c r="Y130" s="346">
        <f t="shared" si="12"/>
        <v>1</v>
      </c>
      <c r="AB130" s="263"/>
      <c r="AC130" s="1182">
        <f t="shared" si="13"/>
        <v>0</v>
      </c>
      <c r="AF130" s="263"/>
      <c r="AG130" s="1171">
        <v>1.0</v>
      </c>
      <c r="AI130" s="263"/>
      <c r="AJ130" s="1170">
        <f t="shared" si="14"/>
        <v>0</v>
      </c>
      <c r="AM130" s="263"/>
      <c r="AN130" s="31"/>
      <c r="AO130" s="31"/>
      <c r="AP130" s="1600">
        <f t="shared" si="17"/>
        <v>60</v>
      </c>
      <c r="AQ130" s="1601"/>
      <c r="AR130" s="1602">
        <f t="shared" ref="AR130:AR131" si="18">AP129-AQ129</f>
        <v>40</v>
      </c>
      <c r="AS130" s="1603">
        <f t="shared" ref="AS130:AS131" si="19">ROUND(((0.1*AP129)+(0.9*AR130))/AP129,2)</f>
        <v>0.7</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511" t="s">
        <v>188</v>
      </c>
      <c r="C131" s="1173"/>
      <c r="I131" s="263"/>
      <c r="J131" s="1174"/>
      <c r="L131" s="263"/>
      <c r="M131" s="1175"/>
      <c r="O131" s="263"/>
      <c r="P131" s="1170"/>
      <c r="S131" s="263"/>
      <c r="T131" s="346"/>
      <c r="X131" s="263"/>
      <c r="Y131" s="346" t="str">
        <f t="shared" ref="Y131:Y143" si="20">+BG131</f>
        <v/>
      </c>
      <c r="AB131" s="263"/>
      <c r="AC131" s="1182">
        <f t="shared" si="13"/>
        <v>0</v>
      </c>
      <c r="AF131" s="263"/>
      <c r="AG131" s="1171">
        <v>1.0</v>
      </c>
      <c r="AI131" s="263"/>
      <c r="AJ131" s="1170">
        <f t="shared" si="14"/>
        <v>0</v>
      </c>
      <c r="AM131" s="263"/>
      <c r="AN131" s="31"/>
      <c r="AO131" s="31"/>
      <c r="AP131" s="1604">
        <f t="shared" si="17"/>
        <v>60</v>
      </c>
      <c r="AQ131" s="1605"/>
      <c r="AR131" s="1606">
        <f t="shared" si="18"/>
        <v>60</v>
      </c>
      <c r="AS131" s="1607">
        <f t="shared" si="19"/>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511" t="s">
        <v>189</v>
      </c>
      <c r="C132" s="1598"/>
      <c r="D132" s="251"/>
      <c r="E132" s="251"/>
      <c r="F132" s="251"/>
      <c r="G132" s="251"/>
      <c r="H132" s="251"/>
      <c r="I132" s="261"/>
      <c r="J132" s="1174"/>
      <c r="L132" s="263"/>
      <c r="M132" s="1175"/>
      <c r="O132" s="263"/>
      <c r="P132" s="1170"/>
      <c r="S132" s="263"/>
      <c r="T132" s="346"/>
      <c r="X132" s="263"/>
      <c r="Y132" s="346" t="str">
        <f t="shared" si="20"/>
        <v/>
      </c>
      <c r="AB132" s="263"/>
      <c r="AC132" s="1170">
        <f t="shared" si="13"/>
        <v>0</v>
      </c>
      <c r="AF132" s="263"/>
      <c r="AG132" s="1171">
        <v>1.0</v>
      </c>
      <c r="AI132" s="263"/>
      <c r="AJ132" s="1170">
        <f t="shared" si="14"/>
        <v>0</v>
      </c>
      <c r="AM132" s="263"/>
      <c r="AN132" s="31"/>
      <c r="AO132" s="31"/>
      <c r="AP132" s="1600">
        <f t="shared" si="17"/>
        <v>60</v>
      </c>
      <c r="AQ132" s="1601"/>
      <c r="AR132" s="1608"/>
      <c r="AS132" s="1608"/>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4"/>
      <c r="B133" s="440"/>
      <c r="C133" s="1184" t="s">
        <v>653</v>
      </c>
      <c r="D133" s="440"/>
      <c r="E133" s="440"/>
      <c r="F133" s="440"/>
      <c r="G133" s="440"/>
      <c r="H133" s="440"/>
      <c r="I133" s="1609"/>
      <c r="J133" s="1174"/>
      <c r="L133" s="263"/>
      <c r="M133" s="1610"/>
      <c r="O133" s="263"/>
      <c r="P133" s="1170"/>
      <c r="S133" s="263"/>
      <c r="T133" s="346">
        <v>1.0</v>
      </c>
      <c r="X133" s="263"/>
      <c r="Y133" s="346" t="str">
        <f t="shared" si="20"/>
        <v/>
      </c>
      <c r="AB133" s="263"/>
      <c r="AC133" s="1170">
        <f t="shared" si="13"/>
        <v>0</v>
      </c>
      <c r="AF133" s="263"/>
      <c r="AG133" s="1171">
        <v>1.0</v>
      </c>
      <c r="AI133" s="263"/>
      <c r="AJ133" s="1170">
        <f t="shared" si="14"/>
        <v>0</v>
      </c>
      <c r="AM133" s="263"/>
      <c r="AN133" s="31"/>
      <c r="AO133" s="31"/>
      <c r="AP133" s="1611"/>
      <c r="AQ133" s="1612"/>
      <c r="AR133" s="1613"/>
      <c r="AS133" s="1613"/>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614"/>
      <c r="B134" s="1351"/>
      <c r="C134" s="1184" t="s">
        <v>653</v>
      </c>
      <c r="D134" s="1351"/>
      <c r="E134" s="1351"/>
      <c r="F134" s="1351"/>
      <c r="G134" s="1351"/>
      <c r="H134" s="1351"/>
      <c r="I134" s="1615"/>
      <c r="J134" s="1174"/>
      <c r="L134" s="263"/>
      <c r="M134" s="1610"/>
      <c r="O134" s="263"/>
      <c r="P134" s="1170"/>
      <c r="S134" s="263"/>
      <c r="T134" s="346">
        <v>1.0</v>
      </c>
      <c r="X134" s="263"/>
      <c r="Y134" s="346" t="str">
        <f t="shared" si="20"/>
        <v/>
      </c>
      <c r="AB134" s="263"/>
      <c r="AC134" s="1170">
        <f t="shared" si="13"/>
        <v>0</v>
      </c>
      <c r="AF134" s="263"/>
      <c r="AG134" s="1171">
        <v>1.0</v>
      </c>
      <c r="AI134" s="263"/>
      <c r="AJ134" s="1170">
        <f t="shared" si="14"/>
        <v>0</v>
      </c>
      <c r="AM134" s="263"/>
      <c r="AN134" s="31"/>
      <c r="AO134" s="31"/>
      <c r="AP134" s="1611"/>
      <c r="AQ134" s="1612"/>
      <c r="AR134" s="1613"/>
      <c r="AS134" s="1613"/>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614"/>
      <c r="B135" s="1351"/>
      <c r="C135" s="1184" t="s">
        <v>653</v>
      </c>
      <c r="D135" s="1351"/>
      <c r="E135" s="1351"/>
      <c r="F135" s="1351"/>
      <c r="G135" s="1351"/>
      <c r="H135" s="1351"/>
      <c r="I135" s="1615"/>
      <c r="J135" s="1174"/>
      <c r="L135" s="263"/>
      <c r="M135" s="1610"/>
      <c r="O135" s="263"/>
      <c r="P135" s="1182"/>
      <c r="S135" s="263"/>
      <c r="T135" s="346">
        <v>1.0</v>
      </c>
      <c r="X135" s="263"/>
      <c r="Y135" s="346" t="str">
        <f t="shared" si="20"/>
        <v/>
      </c>
      <c r="AB135" s="263"/>
      <c r="AC135" s="1170">
        <f t="shared" si="13"/>
        <v>0</v>
      </c>
      <c r="AF135" s="263"/>
      <c r="AG135" s="1171">
        <v>1.0</v>
      </c>
      <c r="AI135" s="263"/>
      <c r="AJ135" s="1170">
        <f t="shared" si="14"/>
        <v>0</v>
      </c>
      <c r="AM135" s="263"/>
      <c r="AN135" s="31"/>
      <c r="AO135" s="31"/>
      <c r="AP135" s="1611"/>
      <c r="AQ135" s="1612"/>
      <c r="AR135" s="1613"/>
      <c r="AS135" s="1613"/>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616"/>
      <c r="B136" s="1185"/>
      <c r="C136" s="1184" t="s">
        <v>653</v>
      </c>
      <c r="D136" s="1185"/>
      <c r="E136" s="1185"/>
      <c r="F136" s="1185"/>
      <c r="G136" s="1185"/>
      <c r="H136" s="1185"/>
      <c r="I136" s="1186"/>
      <c r="J136" s="1174"/>
      <c r="L136" s="263"/>
      <c r="M136" s="1610"/>
      <c r="O136" s="263"/>
      <c r="P136" s="1170"/>
      <c r="S136" s="263"/>
      <c r="T136" s="346">
        <v>1.0</v>
      </c>
      <c r="X136" s="263"/>
      <c r="Y136" s="346" t="str">
        <f t="shared" si="20"/>
        <v/>
      </c>
      <c r="AB136" s="263"/>
      <c r="AC136" s="1170">
        <f t="shared" si="13"/>
        <v>0</v>
      </c>
      <c r="AF136" s="263"/>
      <c r="AG136" s="1171">
        <v>1.0</v>
      </c>
      <c r="AI136" s="263"/>
      <c r="AJ136" s="1170">
        <f t="shared" si="14"/>
        <v>0</v>
      </c>
      <c r="AM136" s="263"/>
      <c r="AN136" s="31"/>
      <c r="AO136" s="31"/>
      <c r="AP136" s="1611"/>
      <c r="AQ136" s="1612"/>
      <c r="AR136" s="1613"/>
      <c r="AS136" s="1613"/>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616"/>
      <c r="B137" s="1185"/>
      <c r="C137" s="1184" t="s">
        <v>653</v>
      </c>
      <c r="D137" s="1185"/>
      <c r="E137" s="1185"/>
      <c r="F137" s="1185"/>
      <c r="G137" s="1185"/>
      <c r="H137" s="1185"/>
      <c r="I137" s="1186"/>
      <c r="J137" s="1174"/>
      <c r="L137" s="263"/>
      <c r="M137" s="1610"/>
      <c r="O137" s="263"/>
      <c r="P137" s="1182"/>
      <c r="S137" s="263"/>
      <c r="T137" s="346">
        <v>1.0</v>
      </c>
      <c r="X137" s="263"/>
      <c r="Y137" s="346" t="str">
        <f t="shared" si="20"/>
        <v/>
      </c>
      <c r="AB137" s="263"/>
      <c r="AC137" s="1170">
        <f t="shared" si="13"/>
        <v>0</v>
      </c>
      <c r="AF137" s="263"/>
      <c r="AG137" s="1171">
        <v>1.0</v>
      </c>
      <c r="AI137" s="263"/>
      <c r="AJ137" s="1170">
        <f t="shared" si="14"/>
        <v>0</v>
      </c>
      <c r="AM137" s="263"/>
      <c r="AN137" s="31"/>
      <c r="AO137" s="31"/>
      <c r="AP137" s="1611"/>
      <c r="AQ137" s="1612"/>
      <c r="AR137" s="1613"/>
      <c r="AS137" s="1613"/>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616"/>
      <c r="B138" s="1185"/>
      <c r="C138" s="1184" t="s">
        <v>653</v>
      </c>
      <c r="D138" s="1185"/>
      <c r="E138" s="1185"/>
      <c r="F138" s="1185"/>
      <c r="G138" s="1185"/>
      <c r="H138" s="1185"/>
      <c r="I138" s="1186"/>
      <c r="J138" s="1174"/>
      <c r="L138" s="263"/>
      <c r="M138" s="1610"/>
      <c r="O138" s="263"/>
      <c r="P138" s="1182"/>
      <c r="S138" s="263"/>
      <c r="T138" s="346">
        <v>1.0</v>
      </c>
      <c r="X138" s="263"/>
      <c r="Y138" s="346" t="str">
        <f t="shared" si="20"/>
        <v/>
      </c>
      <c r="AB138" s="263"/>
      <c r="AC138" s="1170">
        <f t="shared" si="13"/>
        <v>0</v>
      </c>
      <c r="AF138" s="263"/>
      <c r="AG138" s="1171">
        <v>1.0</v>
      </c>
      <c r="AI138" s="263"/>
      <c r="AJ138" s="1170">
        <f t="shared" si="14"/>
        <v>0</v>
      </c>
      <c r="AM138" s="263"/>
      <c r="AN138" s="31"/>
      <c r="AO138" s="31"/>
      <c r="AP138" s="1611"/>
      <c r="AQ138" s="1612"/>
      <c r="AR138" s="1613"/>
      <c r="AS138" s="1613"/>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616"/>
      <c r="B139" s="1185"/>
      <c r="C139" s="1184" t="s">
        <v>653</v>
      </c>
      <c r="D139" s="1185"/>
      <c r="E139" s="1185"/>
      <c r="F139" s="1185"/>
      <c r="G139" s="1185"/>
      <c r="H139" s="1185"/>
      <c r="I139" s="1186"/>
      <c r="J139" s="1174"/>
      <c r="L139" s="263"/>
      <c r="M139" s="1610"/>
      <c r="O139" s="263"/>
      <c r="P139" s="1182"/>
      <c r="S139" s="263"/>
      <c r="T139" s="346">
        <v>1.0</v>
      </c>
      <c r="X139" s="263"/>
      <c r="Y139" s="346" t="str">
        <f t="shared" si="20"/>
        <v/>
      </c>
      <c r="AB139" s="263"/>
      <c r="AC139" s="1170">
        <f t="shared" si="13"/>
        <v>0</v>
      </c>
      <c r="AF139" s="263"/>
      <c r="AG139" s="1171">
        <v>1.0</v>
      </c>
      <c r="AI139" s="263"/>
      <c r="AJ139" s="1170">
        <f t="shared" si="14"/>
        <v>0</v>
      </c>
      <c r="AM139" s="263"/>
      <c r="AN139" s="31"/>
      <c r="AO139" s="31"/>
      <c r="AP139" s="1611"/>
      <c r="AQ139" s="1612"/>
      <c r="AR139" s="1613"/>
      <c r="AS139" s="1613"/>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614"/>
      <c r="B140" s="1351"/>
      <c r="C140" s="1184" t="s">
        <v>653</v>
      </c>
      <c r="D140" s="1351"/>
      <c r="E140" s="1351"/>
      <c r="F140" s="1351"/>
      <c r="G140" s="1351"/>
      <c r="H140" s="1351"/>
      <c r="I140" s="1615"/>
      <c r="J140" s="1174"/>
      <c r="L140" s="263"/>
      <c r="M140" s="1610"/>
      <c r="O140" s="263"/>
      <c r="P140" s="1182"/>
      <c r="S140" s="263"/>
      <c r="T140" s="346">
        <v>1.0</v>
      </c>
      <c r="X140" s="263"/>
      <c r="Y140" s="346" t="str">
        <f t="shared" si="20"/>
        <v/>
      </c>
      <c r="AB140" s="263"/>
      <c r="AC140" s="1170">
        <f t="shared" si="13"/>
        <v>0</v>
      </c>
      <c r="AF140" s="263"/>
      <c r="AG140" s="1171">
        <v>1.0</v>
      </c>
      <c r="AI140" s="263"/>
      <c r="AJ140" s="1170">
        <f t="shared" si="14"/>
        <v>0</v>
      </c>
      <c r="AM140" s="263"/>
      <c r="AN140" s="31"/>
      <c r="AO140" s="31"/>
      <c r="AP140" s="1611"/>
      <c r="AQ140" s="1612"/>
      <c r="AR140" s="1613"/>
      <c r="AS140" s="1613"/>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614"/>
      <c r="B141" s="1351"/>
      <c r="C141" s="1184" t="s">
        <v>653</v>
      </c>
      <c r="D141" s="1351"/>
      <c r="E141" s="1351"/>
      <c r="F141" s="1351"/>
      <c r="G141" s="1351"/>
      <c r="H141" s="1351"/>
      <c r="I141" s="1615"/>
      <c r="J141" s="1174"/>
      <c r="L141" s="263"/>
      <c r="M141" s="1610"/>
      <c r="O141" s="263"/>
      <c r="P141" s="1182"/>
      <c r="S141" s="263"/>
      <c r="T141" s="346">
        <v>1.0</v>
      </c>
      <c r="X141" s="263"/>
      <c r="Y141" s="346" t="str">
        <f t="shared" si="20"/>
        <v/>
      </c>
      <c r="AB141" s="263"/>
      <c r="AC141" s="1170">
        <f t="shared" si="13"/>
        <v>0</v>
      </c>
      <c r="AF141" s="263"/>
      <c r="AG141" s="1171">
        <v>1.0</v>
      </c>
      <c r="AI141" s="263"/>
      <c r="AJ141" s="1170">
        <f t="shared" si="14"/>
        <v>0</v>
      </c>
      <c r="AM141" s="263"/>
      <c r="AN141" s="31"/>
      <c r="AO141" s="31"/>
      <c r="AP141" s="1611"/>
      <c r="AQ141" s="1612"/>
      <c r="AR141" s="1613"/>
      <c r="AS141" s="1613"/>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614"/>
      <c r="B142" s="1351"/>
      <c r="C142" s="1184" t="s">
        <v>653</v>
      </c>
      <c r="D142" s="1351"/>
      <c r="E142" s="1351"/>
      <c r="F142" s="1351"/>
      <c r="G142" s="1351"/>
      <c r="H142" s="1351"/>
      <c r="I142" s="1615"/>
      <c r="J142" s="1174"/>
      <c r="L142" s="263"/>
      <c r="M142" s="1610"/>
      <c r="O142" s="263"/>
      <c r="P142" s="1182"/>
      <c r="S142" s="263"/>
      <c r="T142" s="346">
        <v>1.0</v>
      </c>
      <c r="X142" s="263"/>
      <c r="Y142" s="346" t="str">
        <f t="shared" si="20"/>
        <v/>
      </c>
      <c r="AB142" s="263"/>
      <c r="AC142" s="1170">
        <f t="shared" si="13"/>
        <v>0</v>
      </c>
      <c r="AF142" s="263"/>
      <c r="AG142" s="1171">
        <v>1.0</v>
      </c>
      <c r="AI142" s="263"/>
      <c r="AJ142" s="1170">
        <f t="shared" si="14"/>
        <v>0</v>
      </c>
      <c r="AM142" s="263"/>
      <c r="AN142" s="31"/>
      <c r="AO142" s="31"/>
      <c r="AP142" s="1611"/>
      <c r="AQ142" s="1612"/>
      <c r="AR142" s="1613"/>
      <c r="AS142" s="1613"/>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614"/>
      <c r="B143" s="1351"/>
      <c r="C143" s="1184" t="s">
        <v>653</v>
      </c>
      <c r="D143" s="1351"/>
      <c r="E143" s="1351"/>
      <c r="F143" s="1351"/>
      <c r="G143" s="1351"/>
      <c r="H143" s="1351"/>
      <c r="I143" s="1615"/>
      <c r="J143" s="1174"/>
      <c r="L143" s="263"/>
      <c r="M143" s="1610"/>
      <c r="O143" s="263"/>
      <c r="P143" s="1182"/>
      <c r="S143" s="263"/>
      <c r="T143" s="346">
        <v>1.0</v>
      </c>
      <c r="X143" s="263"/>
      <c r="Y143" s="346" t="str">
        <f t="shared" si="20"/>
        <v/>
      </c>
      <c r="AB143" s="263"/>
      <c r="AC143" s="1170">
        <f t="shared" si="13"/>
        <v>0</v>
      </c>
      <c r="AF143" s="263"/>
      <c r="AG143" s="1171">
        <v>1.0</v>
      </c>
      <c r="AI143" s="263"/>
      <c r="AJ143" s="1170">
        <f t="shared" si="14"/>
        <v>0</v>
      </c>
      <c r="AM143" s="263"/>
      <c r="AN143" s="31"/>
      <c r="AO143" s="31"/>
      <c r="AP143" s="1611"/>
      <c r="AQ143" s="1612"/>
      <c r="AR143" s="1613"/>
      <c r="AS143" s="1613"/>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617"/>
      <c r="B144" s="1618"/>
      <c r="C144" s="1188" t="s">
        <v>653</v>
      </c>
      <c r="D144" s="1618"/>
      <c r="E144" s="1618"/>
      <c r="F144" s="1618"/>
      <c r="G144" s="1618"/>
      <c r="H144" s="1618"/>
      <c r="I144" s="1619"/>
      <c r="J144" s="1525"/>
      <c r="K144" s="251"/>
      <c r="L144" s="261"/>
      <c r="M144" s="1523"/>
      <c r="N144" s="251"/>
      <c r="O144" s="261"/>
      <c r="P144" s="1620"/>
      <c r="Q144" s="251"/>
      <c r="R144" s="251"/>
      <c r="S144" s="261"/>
      <c r="T144" s="1621">
        <v>1.0</v>
      </c>
      <c r="U144" s="251"/>
      <c r="V144" s="251"/>
      <c r="W144" s="251"/>
      <c r="X144" s="261"/>
      <c r="Y144" s="1621"/>
      <c r="Z144" s="251"/>
      <c r="AA144" s="251"/>
      <c r="AB144" s="261"/>
      <c r="AC144" s="1170"/>
      <c r="AF144" s="263"/>
      <c r="AG144" s="1171"/>
      <c r="AI144" s="263"/>
      <c r="AJ144" s="1170">
        <f t="shared" si="14"/>
        <v>0</v>
      </c>
      <c r="AM144" s="263"/>
      <c r="AN144" s="31"/>
      <c r="AO144" s="31"/>
      <c r="AP144" s="1622"/>
      <c r="AQ144" s="1623"/>
      <c r="AR144" s="1624"/>
      <c r="AS144" s="1624"/>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625"/>
      <c r="B145" s="1625"/>
      <c r="C145" s="1043"/>
      <c r="D145" s="1189"/>
      <c r="E145" s="707"/>
      <c r="F145" s="707"/>
      <c r="G145" s="707"/>
      <c r="H145" s="707"/>
      <c r="I145" s="707"/>
      <c r="J145" s="1626">
        <f>SUM(J128:L144)</f>
        <v>0</v>
      </c>
      <c r="K145" s="255"/>
      <c r="L145" s="255"/>
      <c r="M145" s="707"/>
      <c r="N145" s="1190"/>
      <c r="O145" s="1190"/>
      <c r="P145" s="707"/>
      <c r="Q145" s="707"/>
      <c r="R145" s="707"/>
      <c r="S145" s="707"/>
      <c r="T145" s="707"/>
      <c r="U145" s="707"/>
      <c r="V145" s="707"/>
      <c r="W145" s="707"/>
      <c r="X145" s="707"/>
      <c r="Y145" s="707"/>
      <c r="Z145" s="707"/>
      <c r="AA145" s="707"/>
      <c r="AB145" s="707"/>
      <c r="AC145" s="1191"/>
      <c r="AD145" s="1191"/>
      <c r="AE145" s="1191"/>
      <c r="AF145" s="1191"/>
      <c r="AG145" s="1191"/>
      <c r="AH145" s="1192" t="s">
        <v>201</v>
      </c>
      <c r="AI145" s="1627"/>
      <c r="AJ145" s="1628">
        <f>SUM(AJ128:AM144)</f>
        <v>0</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629">
        <f>'OPI Terreno'!AG108*'OPI Terreno'!C108</f>
        <v>0</v>
      </c>
      <c r="BM145" s="483"/>
      <c r="BN145" s="436" t="s">
        <v>654</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202</v>
      </c>
      <c r="B147" s="440"/>
      <c r="C147" s="440"/>
      <c r="D147" s="440"/>
      <c r="E147" s="440"/>
      <c r="F147" s="440"/>
      <c r="G147" s="440"/>
      <c r="H147" s="440"/>
      <c r="I147" s="440"/>
      <c r="J147" s="440"/>
      <c r="K147" s="34"/>
      <c r="L147" s="1630"/>
      <c r="X147" s="263"/>
      <c r="Y147" s="442"/>
      <c r="Z147" s="387"/>
      <c r="AA147" s="1631" t="s">
        <v>203</v>
      </c>
      <c r="AB147" s="85"/>
      <c r="AC147" s="85"/>
      <c r="AD147" s="85"/>
      <c r="AE147" s="85"/>
      <c r="AF147" s="85"/>
      <c r="AG147" s="85"/>
      <c r="AH147" s="85"/>
      <c r="AI147" s="86"/>
      <c r="AJ147" s="1628" t="str">
        <f>SUM(AJ111,AJ123,AJ145)</f>
        <v>#DIV/0!</v>
      </c>
      <c r="AK147" s="85"/>
      <c r="AL147" s="85"/>
      <c r="AM147" s="86"/>
      <c r="AN147" s="31"/>
      <c r="AO147" s="31"/>
      <c r="AP147" s="1632"/>
      <c r="AQ147" s="1633"/>
      <c r="AR147" s="1634"/>
      <c r="AS147" s="1634"/>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205</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1635" t="s">
        <v>655</v>
      </c>
      <c r="Z148" s="255"/>
      <c r="AA148" s="255"/>
      <c r="AB148" s="255"/>
      <c r="AC148" s="255"/>
      <c r="AD148" s="255"/>
      <c r="AE148" s="255"/>
      <c r="AF148" s="255"/>
      <c r="AG148" s="255"/>
      <c r="AH148" s="1636">
        <v>0.2</v>
      </c>
      <c r="AI148" s="253"/>
      <c r="AJ148" s="1637">
        <f>(AJ145+AJ123)*AH148</f>
        <v>0</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1638"/>
      <c r="AI149" s="1639"/>
      <c r="AJ149" s="1640"/>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641" t="s">
        <v>206</v>
      </c>
      <c r="G150" s="1642"/>
      <c r="P150" s="263"/>
      <c r="Q150" s="451" t="s">
        <v>207</v>
      </c>
      <c r="R150" s="452"/>
      <c r="S150" s="452"/>
      <c r="T150" s="452"/>
      <c r="U150" s="452"/>
      <c r="V150" s="452"/>
      <c r="W150" s="453"/>
      <c r="X150" s="1643"/>
      <c r="Y150" s="396"/>
      <c r="Z150" s="396"/>
      <c r="AA150" s="396"/>
      <c r="AB150" s="396"/>
      <c r="AC150" s="396"/>
      <c r="AD150" s="396"/>
      <c r="AE150" s="396"/>
      <c r="AF150" s="454"/>
      <c r="AG150" s="396"/>
      <c r="AH150" s="396"/>
      <c r="AI150" s="1644" t="s">
        <v>656</v>
      </c>
      <c r="AJ150" s="1645" t="str">
        <f>+AJ214</f>
        <v>#DIV/0!</v>
      </c>
      <c r="AK150" s="294"/>
      <c r="AL150" s="294"/>
      <c r="AM150" s="458"/>
      <c r="AN150" s="31"/>
      <c r="AO150" s="31"/>
      <c r="AP150" s="1646"/>
      <c r="AQ150" s="1647"/>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648" t="s">
        <v>210</v>
      </c>
      <c r="G151" s="1642"/>
      <c r="P151" s="263"/>
      <c r="Q151" s="463"/>
      <c r="R151" s="464"/>
      <c r="S151" s="464"/>
      <c r="T151" s="464"/>
      <c r="U151" s="464"/>
      <c r="V151" s="464"/>
      <c r="W151" s="464"/>
      <c r="X151" s="464"/>
      <c r="Y151" s="34"/>
      <c r="Z151" s="34"/>
      <c r="AA151" s="34"/>
      <c r="AB151" s="34"/>
      <c r="AC151" s="34"/>
      <c r="AD151" s="34"/>
      <c r="AE151" s="34"/>
      <c r="AF151" s="305"/>
      <c r="AG151" s="34"/>
      <c r="AH151" s="34"/>
      <c r="AI151" s="1649" t="s">
        <v>657</v>
      </c>
      <c r="AJ151" s="1650" t="str">
        <f>AJ147+AJ148</f>
        <v>#DIV/0!</v>
      </c>
      <c r="AK151" s="467"/>
      <c r="AL151" s="467"/>
      <c r="AM151" s="468"/>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651" t="s">
        <v>658</v>
      </c>
      <c r="Q152" s="470"/>
      <c r="R152" s="34"/>
      <c r="S152" s="34"/>
      <c r="T152" s="34"/>
      <c r="U152" s="34"/>
      <c r="V152" s="34"/>
      <c r="W152" s="34"/>
      <c r="X152" s="34"/>
      <c r="Y152" s="34"/>
      <c r="Z152" s="34"/>
      <c r="AA152" s="34"/>
      <c r="AB152" s="34"/>
      <c r="AC152" s="34"/>
      <c r="AD152" s="34"/>
      <c r="AE152" s="34"/>
      <c r="AF152" s="305"/>
      <c r="AG152" s="34"/>
      <c r="AH152" s="34"/>
      <c r="AI152" s="1649" t="s">
        <v>659</v>
      </c>
      <c r="AJ152" s="1652" t="str">
        <f>AJ151*AP152</f>
        <v>#DIV/0!</v>
      </c>
      <c r="AK152" s="473"/>
      <c r="AL152" s="473"/>
      <c r="AM152" s="474"/>
      <c r="AN152" s="31"/>
      <c r="AO152" s="31"/>
      <c r="AP152" s="1653">
        <v>0.004</v>
      </c>
      <c r="AQ152" s="1654"/>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1655" t="s">
        <v>660</v>
      </c>
      <c r="AH154" s="1656"/>
      <c r="AI154" s="1657" t="str">
        <f>+AJ151</f>
        <v>#DIV/0!</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658"/>
      <c r="AI155" s="1659"/>
      <c r="AN155" s="31"/>
      <c r="AO155" s="31"/>
      <c r="AP155" s="31"/>
      <c r="AQ155" s="1633"/>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1660" t="str">
        <f>AR364</f>
        <v>#DIV/0!</v>
      </c>
      <c r="AM156" s="263"/>
      <c r="AN156" s="31"/>
      <c r="AO156" s="31"/>
      <c r="AP156" s="31"/>
      <c r="AQ156" s="31"/>
      <c r="AR156" s="1646"/>
      <c r="AS156" s="1646"/>
      <c r="AT156" s="1646"/>
      <c r="AU156" s="1646"/>
      <c r="AV156" s="1646"/>
      <c r="AW156" s="1646"/>
      <c r="AX156" s="1646"/>
      <c r="AY156" s="1646"/>
      <c r="AZ156" s="1646"/>
      <c r="BA156" s="1646"/>
      <c r="BB156" s="1646"/>
      <c r="BC156" s="1646"/>
      <c r="BD156" s="1646"/>
      <c r="BE156" s="1646"/>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1661" t="s">
        <v>219</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662"/>
      <c r="B158" s="1662"/>
      <c r="C158" s="1662"/>
      <c r="D158" s="1662"/>
      <c r="E158" s="1662"/>
      <c r="F158" s="1662"/>
      <c r="G158" s="1662"/>
      <c r="H158" s="1662"/>
      <c r="I158" s="1662"/>
      <c r="J158" s="1662"/>
      <c r="K158" s="1662"/>
      <c r="L158" s="1662"/>
      <c r="M158" s="1662"/>
      <c r="N158" s="1662"/>
      <c r="O158" s="1662"/>
      <c r="P158" s="1662"/>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663"/>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220</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222</v>
      </c>
      <c r="O160" s="34"/>
      <c r="P160" s="493"/>
      <c r="R160" s="493"/>
      <c r="S160" s="493"/>
      <c r="T160" s="90" t="s">
        <v>223</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495"/>
      <c r="AQ160" s="496"/>
      <c r="AR160" s="64"/>
      <c r="AS160" s="64"/>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664"/>
      <c r="B161" s="1664"/>
      <c r="C161" s="34"/>
      <c r="D161" s="34"/>
      <c r="E161" s="1665"/>
      <c r="F161" s="1666"/>
      <c r="G161" s="1666"/>
      <c r="H161" s="1667"/>
      <c r="I161" s="1667"/>
      <c r="J161" s="1667"/>
      <c r="K161" s="1668"/>
      <c r="L161" s="1668"/>
      <c r="M161" s="1668"/>
      <c r="N161" s="34"/>
      <c r="O161" s="1669"/>
      <c r="P161" s="1669"/>
      <c r="Q161" s="1670"/>
      <c r="R161" s="1670"/>
      <c r="S161" s="1670"/>
      <c r="T161" s="1670"/>
      <c r="U161" s="1670"/>
      <c r="V161" s="1670"/>
      <c r="W161" s="1670"/>
      <c r="X161" s="1670"/>
      <c r="Y161" s="1670"/>
      <c r="Z161" s="1670"/>
      <c r="AA161" s="1670"/>
      <c r="AB161" s="1670"/>
      <c r="AC161" s="1670"/>
      <c r="AD161" s="1670"/>
      <c r="AE161" s="1670"/>
      <c r="AF161" s="1670"/>
      <c r="AG161" s="1670"/>
      <c r="AH161" s="1670"/>
      <c r="AI161" s="1670"/>
      <c r="AJ161" s="1670"/>
      <c r="AK161" s="1670"/>
      <c r="AL161" s="1670"/>
      <c r="AM161" s="1670"/>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664"/>
      <c r="B162" s="1664"/>
      <c r="C162" s="34"/>
      <c r="D162" s="34"/>
      <c r="E162" s="1665"/>
      <c r="F162" s="1666"/>
      <c r="G162" s="1666"/>
      <c r="H162" s="1667"/>
      <c r="I162" s="1667"/>
      <c r="J162" s="1667"/>
      <c r="K162" s="1668"/>
      <c r="L162" s="1668"/>
      <c r="M162" s="1668"/>
      <c r="N162" s="34"/>
      <c r="O162" s="1669"/>
      <c r="P162" s="1669"/>
      <c r="Q162" s="1670"/>
      <c r="R162" s="1670"/>
      <c r="S162" s="1670"/>
      <c r="T162" s="1670"/>
      <c r="U162" s="1670"/>
      <c r="V162" s="1670"/>
      <c r="W162" s="1670"/>
      <c r="X162" s="1670"/>
      <c r="Y162" s="1670"/>
      <c r="Z162" s="1670"/>
      <c r="AA162" s="1670"/>
      <c r="AB162" s="1670"/>
      <c r="AC162" s="1670"/>
      <c r="AD162" s="1670"/>
      <c r="AE162" s="1670"/>
      <c r="AF162" s="1670"/>
      <c r="AG162" s="1670"/>
      <c r="AH162" s="1670"/>
      <c r="AI162" s="1670"/>
      <c r="AJ162" s="1670"/>
      <c r="AK162" s="1670"/>
      <c r="AL162" s="1670"/>
      <c r="AM162" s="1670"/>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664"/>
      <c r="B163" s="1664"/>
      <c r="C163" s="34"/>
      <c r="D163" s="34"/>
      <c r="E163" s="1665"/>
      <c r="F163" s="1666"/>
      <c r="G163" s="1666"/>
      <c r="H163" s="1667"/>
      <c r="I163" s="1667"/>
      <c r="J163" s="1667"/>
      <c r="K163" s="1668"/>
      <c r="L163" s="1668"/>
      <c r="M163" s="1668"/>
      <c r="N163" s="34"/>
      <c r="O163" s="1669"/>
      <c r="P163" s="1669"/>
      <c r="Q163" s="1670"/>
      <c r="R163" s="1670"/>
      <c r="S163" s="1670"/>
      <c r="T163" s="1670"/>
      <c r="U163" s="1670"/>
      <c r="V163" s="1670"/>
      <c r="W163" s="1670"/>
      <c r="X163" s="1670"/>
      <c r="Y163" s="1670"/>
      <c r="Z163" s="1670"/>
      <c r="AA163" s="1670"/>
      <c r="AB163" s="1670"/>
      <c r="AC163" s="1670"/>
      <c r="AD163" s="1670"/>
      <c r="AE163" s="1670"/>
      <c r="AF163" s="1670"/>
      <c r="AG163" s="1670"/>
      <c r="AH163" s="1670"/>
      <c r="AI163" s="1670"/>
      <c r="AJ163" s="1670"/>
      <c r="AK163" s="1670"/>
      <c r="AL163" s="1670"/>
      <c r="AM163" s="1670"/>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664"/>
      <c r="B164" s="1664"/>
      <c r="C164" s="34"/>
      <c r="D164" s="34"/>
      <c r="E164" s="1665"/>
      <c r="F164" s="1666"/>
      <c r="G164" s="1666"/>
      <c r="H164" s="1667"/>
      <c r="I164" s="1667"/>
      <c r="J164" s="1667"/>
      <c r="K164" s="1668"/>
      <c r="L164" s="1668"/>
      <c r="M164" s="1668"/>
      <c r="N164" s="34"/>
      <c r="O164" s="1669"/>
      <c r="P164" s="1669"/>
      <c r="Q164" s="1670"/>
      <c r="R164" s="1670"/>
      <c r="S164" s="1670"/>
      <c r="T164" s="1670"/>
      <c r="U164" s="1670"/>
      <c r="V164" s="1670"/>
      <c r="W164" s="1670"/>
      <c r="X164" s="1670"/>
      <c r="Y164" s="1670"/>
      <c r="Z164" s="1670"/>
      <c r="AA164" s="1670"/>
      <c r="AB164" s="1670"/>
      <c r="AC164" s="1670"/>
      <c r="AD164" s="1670"/>
      <c r="AE164" s="1670"/>
      <c r="AF164" s="1670"/>
      <c r="AG164" s="1670"/>
      <c r="AH164" s="1670"/>
      <c r="AI164" s="1670"/>
      <c r="AJ164" s="1670"/>
      <c r="AK164" s="1670"/>
      <c r="AL164" s="1670"/>
      <c r="AM164" s="1670"/>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664"/>
      <c r="B165" s="1664"/>
      <c r="C165" s="34"/>
      <c r="D165" s="34"/>
      <c r="E165" s="1665"/>
      <c r="F165" s="1666"/>
      <c r="G165" s="1666"/>
      <c r="H165" s="1667"/>
      <c r="I165" s="1667"/>
      <c r="J165" s="1667"/>
      <c r="K165" s="1668"/>
      <c r="L165" s="1668"/>
      <c r="M165" s="1668"/>
      <c r="N165" s="34"/>
      <c r="O165" s="1669"/>
      <c r="P165" s="1669"/>
      <c r="Q165" s="1670"/>
      <c r="R165" s="1670"/>
      <c r="S165" s="1670"/>
      <c r="T165" s="1670"/>
      <c r="U165" s="1670"/>
      <c r="V165" s="1670"/>
      <c r="W165" s="1670"/>
      <c r="X165" s="1670"/>
      <c r="Y165" s="1670"/>
      <c r="Z165" s="1670"/>
      <c r="AA165" s="1670"/>
      <c r="AB165" s="1670"/>
      <c r="AC165" s="1670"/>
      <c r="AD165" s="1670"/>
      <c r="AE165" s="1670"/>
      <c r="AF165" s="1670"/>
      <c r="AG165" s="1670"/>
      <c r="AH165" s="1670"/>
      <c r="AI165" s="1670"/>
      <c r="AJ165" s="1670"/>
      <c r="AK165" s="1670"/>
      <c r="AL165" s="1670"/>
      <c r="AM165" s="1670"/>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664"/>
      <c r="B166" s="1664"/>
      <c r="C166" s="34"/>
      <c r="D166" s="34"/>
      <c r="E166" s="1665"/>
      <c r="F166" s="1666"/>
      <c r="G166" s="1666"/>
      <c r="H166" s="1667"/>
      <c r="I166" s="1667"/>
      <c r="J166" s="1667"/>
      <c r="K166" s="1668"/>
      <c r="L166" s="1668"/>
      <c r="M166" s="1668"/>
      <c r="N166" s="34"/>
      <c r="O166" s="1669"/>
      <c r="P166" s="1669"/>
      <c r="Q166" s="1670"/>
      <c r="R166" s="1670"/>
      <c r="S166" s="1670"/>
      <c r="T166" s="1670"/>
      <c r="U166" s="1670"/>
      <c r="V166" s="1670"/>
      <c r="W166" s="1670"/>
      <c r="X166" s="1670"/>
      <c r="Y166" s="1670"/>
      <c r="Z166" s="1670"/>
      <c r="AA166" s="1670"/>
      <c r="AB166" s="1670"/>
      <c r="AC166" s="1670"/>
      <c r="AD166" s="1670"/>
      <c r="AE166" s="1670"/>
      <c r="AF166" s="1670"/>
      <c r="AG166" s="1670"/>
      <c r="AH166" s="1670"/>
      <c r="AI166" s="1670"/>
      <c r="AJ166" s="1670"/>
      <c r="AK166" s="1670"/>
      <c r="AL166" s="1670"/>
      <c r="AM166" s="1670"/>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664"/>
      <c r="B167" s="1664"/>
      <c r="C167" s="34"/>
      <c r="D167" s="34"/>
      <c r="E167" s="1665"/>
      <c r="F167" s="1666"/>
      <c r="G167" s="1666"/>
      <c r="H167" s="1667"/>
      <c r="I167" s="1667"/>
      <c r="J167" s="1667"/>
      <c r="K167" s="1668"/>
      <c r="L167" s="1668"/>
      <c r="M167" s="1668"/>
      <c r="N167" s="34"/>
      <c r="O167" s="1669"/>
      <c r="P167" s="1669"/>
      <c r="Q167" s="1670"/>
      <c r="R167" s="1670"/>
      <c r="S167" s="1670"/>
      <c r="T167" s="1670"/>
      <c r="U167" s="1670"/>
      <c r="V167" s="1670"/>
      <c r="W167" s="1670"/>
      <c r="X167" s="1670"/>
      <c r="Y167" s="1670"/>
      <c r="Z167" s="1670"/>
      <c r="AA167" s="1670"/>
      <c r="AB167" s="1670"/>
      <c r="AC167" s="1670"/>
      <c r="AD167" s="1670"/>
      <c r="AE167" s="1670"/>
      <c r="AF167" s="1670"/>
      <c r="AG167" s="1670"/>
      <c r="AH167" s="1670"/>
      <c r="AI167" s="1670"/>
      <c r="AJ167" s="1670"/>
      <c r="AK167" s="1670"/>
      <c r="AL167" s="1670"/>
      <c r="AM167" s="1670"/>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664"/>
      <c r="B168" s="1664"/>
      <c r="C168" s="34"/>
      <c r="D168" s="34"/>
      <c r="E168" s="1665"/>
      <c r="F168" s="1666"/>
      <c r="G168" s="1666"/>
      <c r="H168" s="1667"/>
      <c r="I168" s="1667"/>
      <c r="J168" s="1667"/>
      <c r="K168" s="1668"/>
      <c r="L168" s="1668"/>
      <c r="M168" s="1668"/>
      <c r="N168" s="34"/>
      <c r="O168" s="1669"/>
      <c r="P168" s="1669"/>
      <c r="Q168" s="1670"/>
      <c r="R168" s="1670"/>
      <c r="S168" s="1670"/>
      <c r="T168" s="1670"/>
      <c r="U168" s="1670"/>
      <c r="V168" s="1670"/>
      <c r="W168" s="1670"/>
      <c r="X168" s="1670"/>
      <c r="Y168" s="1670"/>
      <c r="Z168" s="1670"/>
      <c r="AA168" s="1670"/>
      <c r="AB168" s="1670"/>
      <c r="AC168" s="1670"/>
      <c r="AD168" s="1670"/>
      <c r="AE168" s="1670"/>
      <c r="AF168" s="1670"/>
      <c r="AG168" s="1670"/>
      <c r="AH168" s="1670"/>
      <c r="AI168" s="1670"/>
      <c r="AJ168" s="1670"/>
      <c r="AK168" s="1670"/>
      <c r="AL168" s="1670"/>
      <c r="AM168" s="1670"/>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664"/>
      <c r="B169" s="1664"/>
      <c r="C169" s="34"/>
      <c r="D169" s="34"/>
      <c r="E169" s="1665"/>
      <c r="F169" s="1666"/>
      <c r="G169" s="1666"/>
      <c r="H169" s="1667"/>
      <c r="I169" s="1667"/>
      <c r="J169" s="1667"/>
      <c r="K169" s="1668"/>
      <c r="L169" s="1668"/>
      <c r="M169" s="1668"/>
      <c r="N169" s="34"/>
      <c r="O169" s="1669"/>
      <c r="P169" s="1669"/>
      <c r="Q169" s="1670"/>
      <c r="R169" s="1670"/>
      <c r="S169" s="1670"/>
      <c r="T169" s="1670"/>
      <c r="U169" s="1670"/>
      <c r="V169" s="1670"/>
      <c r="W169" s="1670"/>
      <c r="X169" s="1670"/>
      <c r="Y169" s="1670"/>
      <c r="Z169" s="1670"/>
      <c r="AA169" s="1670"/>
      <c r="AB169" s="1670"/>
      <c r="AC169" s="1670"/>
      <c r="AD169" s="1670"/>
      <c r="AE169" s="1670"/>
      <c r="AF169" s="1670"/>
      <c r="AG169" s="1670"/>
      <c r="AH169" s="1670"/>
      <c r="AI169" s="1670"/>
      <c r="AJ169" s="1670"/>
      <c r="AK169" s="1670"/>
      <c r="AL169" s="1670"/>
      <c r="AM169" s="1670"/>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664"/>
      <c r="B170" s="1664"/>
      <c r="C170" s="34"/>
      <c r="D170" s="34"/>
      <c r="E170" s="1671"/>
      <c r="F170" s="1672"/>
      <c r="G170" s="1672"/>
      <c r="H170" s="1667"/>
      <c r="I170" s="1667"/>
      <c r="J170" s="1667"/>
      <c r="K170" s="1668"/>
      <c r="L170" s="1668"/>
      <c r="M170" s="1668"/>
      <c r="N170" s="34"/>
      <c r="O170" s="1669"/>
      <c r="P170" s="1669"/>
      <c r="Q170" s="1670"/>
      <c r="R170" s="1670"/>
      <c r="S170" s="1670"/>
      <c r="T170" s="1670"/>
      <c r="U170" s="1670"/>
      <c r="V170" s="1670"/>
      <c r="W170" s="1670"/>
      <c r="X170" s="1670"/>
      <c r="Y170" s="1670"/>
      <c r="Z170" s="1670"/>
      <c r="AA170" s="1670"/>
      <c r="AB170" s="1670"/>
      <c r="AC170" s="1670"/>
      <c r="AD170" s="1670"/>
      <c r="AE170" s="1670"/>
      <c r="AF170" s="1670"/>
      <c r="AG170" s="1670"/>
      <c r="AH170" s="1670"/>
      <c r="AI170" s="1670"/>
      <c r="AJ170" s="1670"/>
      <c r="AK170" s="1670"/>
      <c r="AL170" s="1670"/>
      <c r="AM170" s="1670"/>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1426" t="s">
        <v>224</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1673" t="s">
        <v>225</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8" t="s">
        <v>226</v>
      </c>
      <c r="B174" s="1208"/>
      <c r="C174" s="91"/>
      <c r="D174" s="91"/>
      <c r="E174" s="1209"/>
      <c r="F174" s="1209"/>
      <c r="G174" s="1209"/>
      <c r="H174" s="1209"/>
      <c r="I174" s="1209"/>
      <c r="J174" s="1210"/>
      <c r="K174" s="1674"/>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8" t="s">
        <v>227</v>
      </c>
      <c r="B175" s="1208"/>
      <c r="C175" s="91"/>
      <c r="D175" s="91"/>
      <c r="E175" s="1209"/>
      <c r="F175" s="1209"/>
      <c r="G175" s="1209"/>
      <c r="H175" s="1209"/>
      <c r="I175" s="1209"/>
      <c r="J175" s="1210"/>
      <c r="K175" s="1675"/>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8" t="s">
        <v>228</v>
      </c>
      <c r="B176" s="1208"/>
      <c r="C176" s="91"/>
      <c r="D176" s="91"/>
      <c r="E176" s="1209"/>
      <c r="F176" s="1209"/>
      <c r="G176" s="1209"/>
      <c r="H176" s="1209"/>
      <c r="I176" s="1209"/>
      <c r="J176" s="1210"/>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1676" t="s">
        <v>229</v>
      </c>
      <c r="B177" s="1208"/>
      <c r="C177" s="91"/>
      <c r="D177" s="91"/>
      <c r="E177" s="1209"/>
      <c r="F177" s="1209"/>
      <c r="G177" s="1209"/>
      <c r="H177" s="1209"/>
      <c r="I177" s="1209"/>
      <c r="J177" s="1210"/>
      <c r="K177" s="167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7" t="s">
        <v>661</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677" t="s">
        <v>662</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1678" t="s">
        <v>663</v>
      </c>
      <c r="D183" s="85"/>
      <c r="E183" s="85"/>
      <c r="F183" s="85"/>
      <c r="G183" s="86"/>
      <c r="H183" s="1679" t="s">
        <v>233</v>
      </c>
      <c r="I183" s="85"/>
      <c r="J183" s="85"/>
      <c r="K183" s="85"/>
      <c r="L183" s="85"/>
      <c r="M183" s="85"/>
      <c r="N183" s="86"/>
      <c r="O183" s="1679" t="s">
        <v>234</v>
      </c>
      <c r="P183" s="85"/>
      <c r="Q183" s="85"/>
      <c r="R183" s="85"/>
      <c r="S183" s="85"/>
      <c r="T183" s="86"/>
      <c r="U183" s="1679" t="s">
        <v>235</v>
      </c>
      <c r="V183" s="86"/>
      <c r="W183" s="1679" t="s">
        <v>236</v>
      </c>
      <c r="X183" s="85"/>
      <c r="Y183" s="85"/>
      <c r="Z183" s="85"/>
      <c r="AA183" s="85"/>
      <c r="AB183" s="85"/>
      <c r="AC183" s="85"/>
      <c r="AD183" s="85"/>
      <c r="AE183" s="85"/>
      <c r="AF183" s="85"/>
      <c r="AG183" s="85"/>
      <c r="AH183" s="85"/>
      <c r="AI183" s="86"/>
      <c r="AJ183" s="1679" t="s">
        <v>237</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1680">
        <v>1.0</v>
      </c>
      <c r="B184" s="512"/>
      <c r="C184" s="1681" t="str">
        <f>+Mercado!C4</f>
        <v/>
      </c>
      <c r="D184" s="567"/>
      <c r="E184" s="567"/>
      <c r="F184" s="567"/>
      <c r="G184" s="512"/>
      <c r="H184" s="1682" t="str">
        <f>+UPPER(Mercado!F4)</f>
        <v/>
      </c>
      <c r="I184" s="567"/>
      <c r="J184" s="567"/>
      <c r="K184" s="567"/>
      <c r="L184" s="567"/>
      <c r="M184" s="567"/>
      <c r="N184" s="512"/>
      <c r="O184" s="1683" t="str">
        <f>UPPER(Mercado!E4)</f>
        <v>RANCHO NUEVO 1RA. SECCIÓN</v>
      </c>
      <c r="P184" s="567"/>
      <c r="Q184" s="567"/>
      <c r="R184" s="567"/>
      <c r="S184" s="567"/>
      <c r="T184" s="512"/>
      <c r="U184" s="1684">
        <v>0.0</v>
      </c>
      <c r="V184" s="253"/>
      <c r="W184" s="1685" t="str">
        <f>+PROPER(Mercado!G4)</f>
        <v/>
      </c>
      <c r="X184" s="582"/>
      <c r="Y184" s="582"/>
      <c r="Z184" s="582"/>
      <c r="AA184" s="582"/>
      <c r="AB184" s="582"/>
      <c r="AC184" s="582"/>
      <c r="AD184" s="582"/>
      <c r="AE184" s="582"/>
      <c r="AF184" s="582"/>
      <c r="AG184" s="582"/>
      <c r="AH184" s="582"/>
      <c r="AI184" s="524"/>
      <c r="AJ184" s="518" t="str">
        <f>UPPER(CONCATENATE(Mercado!L4,", ",Mercado!M4))</f>
        <v>, </v>
      </c>
      <c r="AK184" s="255"/>
      <c r="AL184" s="255"/>
      <c r="AM184" s="253"/>
      <c r="AN184" s="31"/>
      <c r="AO184" s="522"/>
      <c r="AP184" s="1686" t="s">
        <v>238</v>
      </c>
      <c r="AQ184" s="1687" t="s">
        <v>239</v>
      </c>
      <c r="AR184" s="1688"/>
      <c r="AS184" s="1688"/>
      <c r="AT184" s="1688"/>
      <c r="AU184" s="1688"/>
      <c r="AV184" s="1688"/>
      <c r="AW184" s="1688"/>
      <c r="AX184" s="1688"/>
      <c r="AY184" s="1688"/>
      <c r="AZ184" s="1688"/>
      <c r="BA184" s="1688"/>
      <c r="BB184" s="1688"/>
      <c r="BC184" s="1688"/>
      <c r="BD184" s="1688"/>
      <c r="BE184" s="1688"/>
      <c r="BF184" s="1688" t="s">
        <v>240</v>
      </c>
      <c r="BG184" s="521" t="s">
        <v>239</v>
      </c>
      <c r="BH184" s="522"/>
      <c r="BI184" s="1687" t="s">
        <v>238</v>
      </c>
      <c r="BJ184" s="520" t="s">
        <v>239</v>
      </c>
      <c r="BK184" s="520"/>
      <c r="BL184" s="520" t="s">
        <v>240</v>
      </c>
      <c r="BM184" s="521" t="s">
        <v>239</v>
      </c>
      <c r="BN184" s="31"/>
      <c r="BO184" s="31"/>
      <c r="BP184" s="31"/>
      <c r="BQ184" s="31"/>
      <c r="BR184" s="31"/>
      <c r="BS184" s="31"/>
      <c r="BT184" s="31"/>
      <c r="BU184" s="31"/>
      <c r="BV184" s="31"/>
      <c r="BW184" s="31"/>
      <c r="BX184" s="31"/>
      <c r="BY184" s="34"/>
      <c r="BZ184" s="34"/>
    </row>
    <row r="185" ht="36.75" customHeight="1">
      <c r="A185" s="1689">
        <v>2.0</v>
      </c>
      <c r="B185" s="524"/>
      <c r="C185" s="1690" t="str">
        <f>+Mercado!C5</f>
        <v/>
      </c>
      <c r="D185" s="582"/>
      <c r="E185" s="582"/>
      <c r="F185" s="582"/>
      <c r="G185" s="524"/>
      <c r="H185" s="1691" t="str">
        <f>+UPPER(Mercado!F5)</f>
        <v/>
      </c>
      <c r="I185" s="582"/>
      <c r="J185" s="582"/>
      <c r="K185" s="582"/>
      <c r="L185" s="582"/>
      <c r="M185" s="582"/>
      <c r="N185" s="524"/>
      <c r="O185" s="1692" t="str">
        <f>UPPER(Mercado!E5)</f>
        <v/>
      </c>
      <c r="P185" s="582"/>
      <c r="Q185" s="582"/>
      <c r="R185" s="582"/>
      <c r="S185" s="582"/>
      <c r="T185" s="524"/>
      <c r="U185" s="1693">
        <v>0.0</v>
      </c>
      <c r="V185" s="524"/>
      <c r="W185" s="1685" t="str">
        <f>+PROPER(Mercado!G5)</f>
        <v/>
      </c>
      <c r="X185" s="582"/>
      <c r="Y185" s="582"/>
      <c r="Z185" s="582"/>
      <c r="AA185" s="582"/>
      <c r="AB185" s="582"/>
      <c r="AC185" s="582"/>
      <c r="AD185" s="582"/>
      <c r="AE185" s="582"/>
      <c r="AF185" s="582"/>
      <c r="AG185" s="582"/>
      <c r="AH185" s="582"/>
      <c r="AI185" s="524"/>
      <c r="AJ185" s="1694" t="str">
        <f>UPPER(CONCATENATE(Mercado!L5,", ",Mercado!M5))</f>
        <v>, </v>
      </c>
      <c r="AK185" s="661"/>
      <c r="AL185" s="661"/>
      <c r="AM185" s="662"/>
      <c r="AN185" s="31"/>
      <c r="AO185" s="529" t="s">
        <v>170</v>
      </c>
      <c r="AP185" s="526">
        <f>G111</f>
        <v>0</v>
      </c>
      <c r="AQ185" s="527" t="str">
        <f t="shared" ref="AQ185:AQ186" si="21">AP185/$AP$187</f>
        <v>#DIV/0!</v>
      </c>
      <c r="AR185" s="526"/>
      <c r="AS185" s="526"/>
      <c r="AT185" s="526"/>
      <c r="AU185" s="526"/>
      <c r="AV185" s="526"/>
      <c r="AW185" s="526"/>
      <c r="AX185" s="526"/>
      <c r="AY185" s="526"/>
      <c r="AZ185" s="526"/>
      <c r="BA185" s="526"/>
      <c r="BB185" s="526"/>
      <c r="BC185" s="526"/>
      <c r="BD185" s="526"/>
      <c r="BE185" s="526"/>
      <c r="BF185" s="526" t="str">
        <f>+AC108</f>
        <v>#DIV/0!</v>
      </c>
      <c r="BG185" s="528" t="str">
        <f t="shared" ref="BG185:BG187" si="22">+BF185/$BF$187</f>
        <v>#DIV/0!</v>
      </c>
      <c r="BH185" s="529" t="s">
        <v>241</v>
      </c>
      <c r="BI185" s="526" t="str">
        <f>+AJ111</f>
        <v>#DIV/0!</v>
      </c>
      <c r="BJ185" s="527" t="str">
        <f t="shared" ref="BJ185:BJ188" si="23">+BI185/$BI$188</f>
        <v>#DIV/0!</v>
      </c>
      <c r="BK185" s="637" t="s">
        <v>241</v>
      </c>
      <c r="BL185" s="526" t="str">
        <f>+BI185</f>
        <v>#DIV/0!</v>
      </c>
      <c r="BM185" s="528" t="str">
        <f t="shared" ref="BM185:BM188" si="24">+BL185/$BL$188</f>
        <v>#DIV/0!</v>
      </c>
      <c r="BN185" s="31"/>
      <c r="BO185" s="31"/>
      <c r="BP185" s="31"/>
      <c r="BQ185" s="31"/>
      <c r="BR185" s="31"/>
      <c r="BS185" s="31"/>
      <c r="BT185" s="31"/>
      <c r="BU185" s="31"/>
      <c r="BV185" s="31"/>
      <c r="BW185" s="31"/>
      <c r="BX185" s="31"/>
      <c r="BY185" s="34"/>
      <c r="BZ185" s="34"/>
    </row>
    <row r="186" ht="47.25" customHeight="1">
      <c r="A186" s="1689">
        <v>3.0</v>
      </c>
      <c r="B186" s="524"/>
      <c r="C186" s="1690" t="str">
        <f>+Mercado!C6</f>
        <v/>
      </c>
      <c r="D186" s="582"/>
      <c r="E186" s="582"/>
      <c r="F186" s="582"/>
      <c r="G186" s="524"/>
      <c r="H186" s="1691" t="str">
        <f>+UPPER(Mercado!F6)</f>
        <v/>
      </c>
      <c r="I186" s="582"/>
      <c r="J186" s="582"/>
      <c r="K186" s="582"/>
      <c r="L186" s="582"/>
      <c r="M186" s="582"/>
      <c r="N186" s="524"/>
      <c r="O186" s="1692" t="str">
        <f>UPPER(Mercado!E6)</f>
        <v>INDEPENDENCIA</v>
      </c>
      <c r="P186" s="582"/>
      <c r="Q186" s="582"/>
      <c r="R186" s="582"/>
      <c r="S186" s="582"/>
      <c r="T186" s="524"/>
      <c r="U186" s="1693">
        <v>0.0</v>
      </c>
      <c r="V186" s="524"/>
      <c r="W186" s="1685" t="str">
        <f>+PROPER(Mercado!G6)</f>
        <v/>
      </c>
      <c r="X186" s="582"/>
      <c r="Y186" s="582"/>
      <c r="Z186" s="582"/>
      <c r="AA186" s="582"/>
      <c r="AB186" s="582"/>
      <c r="AC186" s="582"/>
      <c r="AD186" s="582"/>
      <c r="AE186" s="582"/>
      <c r="AF186" s="582"/>
      <c r="AG186" s="582"/>
      <c r="AH186" s="582"/>
      <c r="AI186" s="524"/>
      <c r="AJ186" s="1694" t="str">
        <f>UPPER(CONCATENATE(Mercado!L6,", ",Mercado!M6))</f>
        <v>, </v>
      </c>
      <c r="AK186" s="661"/>
      <c r="AL186" s="661"/>
      <c r="AM186" s="662"/>
      <c r="AN186" s="31"/>
      <c r="AO186" s="529" t="s">
        <v>242</v>
      </c>
      <c r="AP186" s="530">
        <f>K123</f>
        <v>0</v>
      </c>
      <c r="AQ186" s="527" t="str">
        <f t="shared" si="21"/>
        <v>#DIV/0!</v>
      </c>
      <c r="AR186" s="531"/>
      <c r="AS186" s="531"/>
      <c r="AT186" s="531"/>
      <c r="AU186" s="531"/>
      <c r="AV186" s="531"/>
      <c r="AW186" s="531"/>
      <c r="AX186" s="531"/>
      <c r="AY186" s="531"/>
      <c r="AZ186" s="531"/>
      <c r="BA186" s="531"/>
      <c r="BB186" s="531"/>
      <c r="BC186" s="531"/>
      <c r="BD186" s="531"/>
      <c r="BE186" s="531"/>
      <c r="BF186" s="531" t="str">
        <f>+AL208-BF185</f>
        <v>#DIV/0!</v>
      </c>
      <c r="BG186" s="528" t="str">
        <f t="shared" si="22"/>
        <v>#DIV/0!</v>
      </c>
      <c r="BH186" s="1695" t="s">
        <v>243</v>
      </c>
      <c r="BI186" s="530">
        <f>+AJ123</f>
        <v>0</v>
      </c>
      <c r="BJ186" s="527" t="str">
        <f t="shared" si="23"/>
        <v>#DIV/0!</v>
      </c>
      <c r="BK186" s="1696" t="s">
        <v>243</v>
      </c>
      <c r="BL186" s="531" t="str">
        <f>+AJ214-BL185</f>
        <v>#DIV/0!</v>
      </c>
      <c r="BM186" s="528" t="str">
        <f t="shared" si="24"/>
        <v>#DIV/0!</v>
      </c>
      <c r="BN186" s="31"/>
      <c r="BO186" s="31"/>
      <c r="BP186" s="31"/>
      <c r="BQ186" s="31"/>
      <c r="BR186" s="31"/>
      <c r="BS186" s="31"/>
      <c r="BT186" s="31"/>
      <c r="BU186" s="31"/>
      <c r="BV186" s="31"/>
      <c r="BW186" s="31"/>
      <c r="BX186" s="31"/>
      <c r="BY186" s="34"/>
      <c r="BZ186" s="34"/>
    </row>
    <row r="187" ht="47.25" customHeight="1">
      <c r="A187" s="1689">
        <v>4.0</v>
      </c>
      <c r="B187" s="524"/>
      <c r="C187" s="1690" t="str">
        <f>+Mercado!C7</f>
        <v/>
      </c>
      <c r="D187" s="582"/>
      <c r="E187" s="582"/>
      <c r="F187" s="582"/>
      <c r="G187" s="524"/>
      <c r="H187" s="1691" t="str">
        <f>+UPPER(Mercado!F7)</f>
        <v/>
      </c>
      <c r="I187" s="582"/>
      <c r="J187" s="582"/>
      <c r="K187" s="582"/>
      <c r="L187" s="582"/>
      <c r="M187" s="582"/>
      <c r="N187" s="524"/>
      <c r="O187" s="1692" t="str">
        <f>UPPER(Mercado!E7)</f>
        <v/>
      </c>
      <c r="P187" s="582"/>
      <c r="Q187" s="582"/>
      <c r="R187" s="582"/>
      <c r="S187" s="582"/>
      <c r="T187" s="524"/>
      <c r="U187" s="1693">
        <v>0.0</v>
      </c>
      <c r="V187" s="524"/>
      <c r="W187" s="1685" t="str">
        <f>+PROPER(Mercado!G7)</f>
        <v/>
      </c>
      <c r="X187" s="582"/>
      <c r="Y187" s="582"/>
      <c r="Z187" s="582"/>
      <c r="AA187" s="582"/>
      <c r="AB187" s="582"/>
      <c r="AC187" s="582"/>
      <c r="AD187" s="582"/>
      <c r="AE187" s="582"/>
      <c r="AF187" s="582"/>
      <c r="AG187" s="582"/>
      <c r="AH187" s="582"/>
      <c r="AI187" s="524"/>
      <c r="AJ187" s="1694" t="str">
        <f>UPPER(CONCATENATE(Mercado!L7,", ",Mercado!M7))</f>
        <v>, </v>
      </c>
      <c r="AK187" s="661"/>
      <c r="AL187" s="661"/>
      <c r="AM187" s="662"/>
      <c r="AN187" s="31"/>
      <c r="AO187" s="546" t="s">
        <v>244</v>
      </c>
      <c r="AP187" s="533"/>
      <c r="AQ187" s="534"/>
      <c r="AR187" s="535"/>
      <c r="AS187" s="535"/>
      <c r="AT187" s="535"/>
      <c r="AU187" s="535"/>
      <c r="AV187" s="535"/>
      <c r="AW187" s="535"/>
      <c r="AX187" s="535"/>
      <c r="AY187" s="535"/>
      <c r="AZ187" s="535"/>
      <c r="BA187" s="535"/>
      <c r="BB187" s="535"/>
      <c r="BC187" s="535"/>
      <c r="BD187" s="535"/>
      <c r="BE187" s="535"/>
      <c r="BF187" s="535" t="str">
        <f>SUM(BF185:BF186)</f>
        <v>#DIV/0!</v>
      </c>
      <c r="BG187" s="536" t="str">
        <f t="shared" si="22"/>
        <v>#DIV/0!</v>
      </c>
      <c r="BH187" s="537" t="s">
        <v>245</v>
      </c>
      <c r="BI187" s="526">
        <f>+AJ145</f>
        <v>0</v>
      </c>
      <c r="BJ187" s="527" t="str">
        <f t="shared" si="23"/>
        <v>#DIV/0!</v>
      </c>
      <c r="BK187" s="1697"/>
      <c r="BL187" s="31"/>
      <c r="BM187" s="528" t="str">
        <f t="shared" si="24"/>
        <v>#DIV/0!</v>
      </c>
      <c r="BN187" s="31"/>
      <c r="BO187" s="31"/>
      <c r="BP187" s="31"/>
      <c r="BQ187" s="31"/>
      <c r="BR187" s="31"/>
      <c r="BS187" s="31"/>
      <c r="BT187" s="31"/>
      <c r="BU187" s="31"/>
      <c r="BV187" s="31"/>
      <c r="BW187" s="31"/>
      <c r="BX187" s="31"/>
      <c r="BY187" s="34"/>
      <c r="BZ187" s="34"/>
    </row>
    <row r="188" ht="39.0" customHeight="1">
      <c r="A188" s="1698">
        <v>5.0</v>
      </c>
      <c r="B188" s="261"/>
      <c r="C188" s="1699" t="str">
        <f>+Mercado!C8</f>
        <v/>
      </c>
      <c r="D188" s="1700"/>
      <c r="E188" s="1700"/>
      <c r="F188" s="1700"/>
      <c r="G188" s="745"/>
      <c r="H188" s="1701" t="str">
        <f>+UPPER(Mercado!F8)</f>
        <v/>
      </c>
      <c r="I188" s="1700"/>
      <c r="J188" s="1700"/>
      <c r="K188" s="1700"/>
      <c r="L188" s="1700"/>
      <c r="M188" s="1700"/>
      <c r="N188" s="745"/>
      <c r="O188" s="1702" t="str">
        <f>UPPER(Mercado!E8)</f>
        <v/>
      </c>
      <c r="P188" s="1700"/>
      <c r="Q188" s="1700"/>
      <c r="R188" s="1700"/>
      <c r="S188" s="1700"/>
      <c r="T188" s="745"/>
      <c r="U188" s="1703">
        <v>0.0</v>
      </c>
      <c r="V188" s="745"/>
      <c r="W188" s="1704" t="str">
        <f>+PROPER(Mercado!G8)</f>
        <v/>
      </c>
      <c r="X188" s="1700"/>
      <c r="Y188" s="1700"/>
      <c r="Z188" s="1700"/>
      <c r="AA188" s="1700"/>
      <c r="AB188" s="1700"/>
      <c r="AC188" s="1700"/>
      <c r="AD188" s="1700"/>
      <c r="AE188" s="1700"/>
      <c r="AF188" s="1700"/>
      <c r="AG188" s="1700"/>
      <c r="AH188" s="1700"/>
      <c r="AI188" s="745"/>
      <c r="AJ188" s="1705" t="str">
        <f>UPPER(CONCATENATE(Mercado!L8,", ",Mercado!M8))</f>
        <v>, </v>
      </c>
      <c r="AK188" s="1700"/>
      <c r="AL188" s="1700"/>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244</v>
      </c>
      <c r="BI188" s="533" t="str">
        <f>SUM(BI185:BI186)</f>
        <v>#DIV/0!</v>
      </c>
      <c r="BJ188" s="534" t="str">
        <f t="shared" si="23"/>
        <v>#DIV/0!</v>
      </c>
      <c r="BK188" s="534"/>
      <c r="BL188" s="535" t="str">
        <f>SUM(BL185:BL186)</f>
        <v>#DIV/0!</v>
      </c>
      <c r="BM188" s="536" t="str">
        <f t="shared" si="24"/>
        <v>#DIV/0!</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246</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247</v>
      </c>
      <c r="D191" s="85"/>
      <c r="E191" s="86"/>
      <c r="F191" s="509" t="s">
        <v>248</v>
      </c>
      <c r="G191" s="85"/>
      <c r="H191" s="86"/>
      <c r="I191" s="748" t="s">
        <v>249</v>
      </c>
      <c r="J191" s="85"/>
      <c r="K191" s="85"/>
      <c r="L191" s="86"/>
      <c r="M191" s="748" t="s">
        <v>250</v>
      </c>
      <c r="N191" s="85"/>
      <c r="O191" s="86"/>
      <c r="P191" s="509" t="s">
        <v>251</v>
      </c>
      <c r="Q191" s="86"/>
      <c r="R191" s="509" t="s">
        <v>252</v>
      </c>
      <c r="S191" s="85"/>
      <c r="T191" s="86"/>
      <c r="U191" s="1706"/>
      <c r="V191" s="1707"/>
      <c r="W191" s="748" t="s">
        <v>253</v>
      </c>
      <c r="X191" s="85"/>
      <c r="Y191" s="86"/>
      <c r="Z191" s="747" t="s">
        <v>254</v>
      </c>
      <c r="AA191" s="85"/>
      <c r="AB191" s="85"/>
      <c r="AC191" s="86"/>
      <c r="AD191" s="751" t="s">
        <v>255</v>
      </c>
      <c r="AE191" s="85"/>
      <c r="AF191" s="86"/>
      <c r="AG191" s="1708" t="s">
        <v>256</v>
      </c>
      <c r="AH191" s="86"/>
      <c r="AI191" s="509" t="s">
        <v>257</v>
      </c>
      <c r="AJ191" s="85"/>
      <c r="AK191" s="86"/>
      <c r="AL191" s="748" t="s">
        <v>258</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709">
        <v>0.0</v>
      </c>
      <c r="E192" s="365"/>
      <c r="F192" s="1710">
        <v>0.0</v>
      </c>
      <c r="H192" s="365"/>
      <c r="I192" s="1711">
        <v>0.0</v>
      </c>
      <c r="L192" s="263"/>
      <c r="M192" s="755" t="str">
        <f t="shared" ref="M192:M196" si="25">I192/F192</f>
        <v>#DIV/0!</v>
      </c>
      <c r="N192" s="567"/>
      <c r="O192" s="512"/>
      <c r="P192" s="571" t="str">
        <f t="shared" ref="P192:P196" si="26">+F192/C192</f>
        <v>#DIV/0!</v>
      </c>
      <c r="Q192" s="253"/>
      <c r="R192" s="571" t="str">
        <f>'OPI Terreno'!K123/'OPI Terreno'!C111</f>
        <v>#DIV/0!</v>
      </c>
      <c r="S192" s="255"/>
      <c r="T192" s="253"/>
      <c r="U192" s="757"/>
      <c r="V192" s="758"/>
      <c r="W192" s="759" t="str">
        <f t="shared" ref="W192:W196" si="27">+F192/R192</f>
        <v>#DIV/0!</v>
      </c>
      <c r="X192" s="255"/>
      <c r="Y192" s="253"/>
      <c r="Z192" s="575" t="str">
        <f t="shared" ref="Z192:Z196" si="28">+W192-C192</f>
        <v>#DIV/0!</v>
      </c>
      <c r="AA192" s="255"/>
      <c r="AB192" s="255"/>
      <c r="AC192" s="253"/>
      <c r="AD192" s="760" t="str">
        <f>+G108</f>
        <v/>
      </c>
      <c r="AE192" s="255"/>
      <c r="AF192" s="253"/>
      <c r="AG192" s="761" t="str">
        <f t="shared" ref="AG192:AG196" si="29">+Z192*AD192</f>
        <v>#DIV/0!</v>
      </c>
      <c r="AH192" s="253"/>
      <c r="AI192" s="762" t="str">
        <f t="shared" ref="AI192:AI196" si="30">+I192+AG192</f>
        <v>#DIV/0!</v>
      </c>
      <c r="AJ192" s="255"/>
      <c r="AK192" s="253"/>
      <c r="AL192" s="763" t="str">
        <f t="shared" ref="AL192:AL196" si="31">+AI192/F192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5"/>
        <v>#DIV/0!</v>
      </c>
      <c r="N193" s="582"/>
      <c r="O193" s="524"/>
      <c r="P193" s="587" t="str">
        <f t="shared" si="26"/>
        <v>#DIV/0!</v>
      </c>
      <c r="Q193" s="524"/>
      <c r="R193" s="587" t="str">
        <f t="shared" ref="R193:R196" si="32">R192</f>
        <v>#DIV/0!</v>
      </c>
      <c r="S193" s="582"/>
      <c r="T193" s="524"/>
      <c r="U193" s="757"/>
      <c r="V193" s="758"/>
      <c r="W193" s="767" t="str">
        <f t="shared" si="27"/>
        <v>#DIV/0!</v>
      </c>
      <c r="X193" s="582"/>
      <c r="Y193" s="524"/>
      <c r="Z193" s="588" t="str">
        <f t="shared" si="28"/>
        <v>#DIV/0!</v>
      </c>
      <c r="AA193" s="582"/>
      <c r="AB193" s="582"/>
      <c r="AC193" s="524"/>
      <c r="AD193" s="768" t="str">
        <f t="shared" ref="AD193:AD196" si="33">AD192</f>
        <v/>
      </c>
      <c r="AE193" s="582"/>
      <c r="AF193" s="524"/>
      <c r="AG193" s="769" t="str">
        <f t="shared" si="29"/>
        <v>#DIV/0!</v>
      </c>
      <c r="AH193" s="524"/>
      <c r="AI193" s="770" t="str">
        <f t="shared" si="30"/>
        <v>#DIV/0!</v>
      </c>
      <c r="AJ193" s="582"/>
      <c r="AK193" s="524"/>
      <c r="AL193" s="771" t="str">
        <f t="shared" si="31"/>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5"/>
        <v>#DIV/0!</v>
      </c>
      <c r="N194" s="582"/>
      <c r="O194" s="524"/>
      <c r="P194" s="587" t="str">
        <f t="shared" si="26"/>
        <v>#DIV/0!</v>
      </c>
      <c r="Q194" s="524"/>
      <c r="R194" s="587" t="str">
        <f t="shared" si="32"/>
        <v>#DIV/0!</v>
      </c>
      <c r="S194" s="582"/>
      <c r="T194" s="524"/>
      <c r="U194" s="757"/>
      <c r="V194" s="758"/>
      <c r="W194" s="767" t="str">
        <f t="shared" si="27"/>
        <v>#DIV/0!</v>
      </c>
      <c r="X194" s="582"/>
      <c r="Y194" s="524"/>
      <c r="Z194" s="588" t="str">
        <f t="shared" si="28"/>
        <v>#DIV/0!</v>
      </c>
      <c r="AA194" s="582"/>
      <c r="AB194" s="582"/>
      <c r="AC194" s="524"/>
      <c r="AD194" s="768" t="str">
        <f t="shared" si="33"/>
        <v/>
      </c>
      <c r="AE194" s="582"/>
      <c r="AF194" s="524"/>
      <c r="AG194" s="769" t="str">
        <f t="shared" si="29"/>
        <v>#DIV/0!</v>
      </c>
      <c r="AH194" s="524"/>
      <c r="AI194" s="770" t="str">
        <f t="shared" si="30"/>
        <v>#DIV/0!</v>
      </c>
      <c r="AJ194" s="582"/>
      <c r="AK194" s="524"/>
      <c r="AL194" s="771" t="str">
        <f t="shared" si="31"/>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5"/>
        <v>#DIV/0!</v>
      </c>
      <c r="N195" s="582"/>
      <c r="O195" s="524"/>
      <c r="P195" s="587" t="str">
        <f t="shared" si="26"/>
        <v>#DIV/0!</v>
      </c>
      <c r="Q195" s="524"/>
      <c r="R195" s="587" t="str">
        <f t="shared" si="32"/>
        <v>#DIV/0!</v>
      </c>
      <c r="S195" s="582"/>
      <c r="T195" s="524"/>
      <c r="U195" s="757"/>
      <c r="V195" s="758"/>
      <c r="W195" s="767" t="str">
        <f t="shared" si="27"/>
        <v>#DIV/0!</v>
      </c>
      <c r="X195" s="582"/>
      <c r="Y195" s="524"/>
      <c r="Z195" s="588" t="str">
        <f t="shared" si="28"/>
        <v>#DIV/0!</v>
      </c>
      <c r="AA195" s="582"/>
      <c r="AB195" s="582"/>
      <c r="AC195" s="524"/>
      <c r="AD195" s="768" t="str">
        <f t="shared" si="33"/>
        <v/>
      </c>
      <c r="AE195" s="582"/>
      <c r="AF195" s="524"/>
      <c r="AG195" s="769" t="str">
        <f t="shared" si="29"/>
        <v>#DIV/0!</v>
      </c>
      <c r="AH195" s="524"/>
      <c r="AI195" s="770" t="str">
        <f t="shared" si="30"/>
        <v>#DIV/0!</v>
      </c>
      <c r="AJ195" s="582"/>
      <c r="AK195" s="524"/>
      <c r="AL195" s="771" t="str">
        <f t="shared" si="31"/>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712" t="s">
        <v>664</v>
      </c>
      <c r="BH195" s="1713" t="s">
        <v>665</v>
      </c>
      <c r="BI195" s="1713" t="s">
        <v>666</v>
      </c>
      <c r="BJ195" s="1713" t="s">
        <v>667</v>
      </c>
      <c r="BK195" s="1713" t="s">
        <v>668</v>
      </c>
      <c r="BL195" s="1713" t="s">
        <v>669</v>
      </c>
      <c r="BM195" s="1713" t="s">
        <v>670</v>
      </c>
      <c r="BN195" s="1713" t="s">
        <v>671</v>
      </c>
      <c r="BO195" s="1714" t="s">
        <v>672</v>
      </c>
      <c r="BP195" s="31"/>
      <c r="BQ195" s="31"/>
      <c r="BR195" s="31"/>
      <c r="BS195" s="31"/>
      <c r="BT195" s="31"/>
      <c r="BU195" s="31"/>
      <c r="BV195" s="31"/>
      <c r="BW195" s="31"/>
      <c r="BX195" s="31"/>
      <c r="BY195" s="34"/>
      <c r="BZ195" s="34"/>
    </row>
    <row r="196" ht="15.0" hidden="1" customHeight="1">
      <c r="A196" s="595">
        <v>5.0</v>
      </c>
      <c r="B196" s="596"/>
      <c r="C196" s="1715">
        <v>0.0</v>
      </c>
      <c r="D196" s="604"/>
      <c r="E196" s="1716"/>
      <c r="F196" s="1717">
        <v>0.0</v>
      </c>
      <c r="G196" s="604"/>
      <c r="H196" s="1716"/>
      <c r="I196" s="1718">
        <v>0.0</v>
      </c>
      <c r="J196" s="604"/>
      <c r="K196" s="604"/>
      <c r="L196" s="596"/>
      <c r="M196" s="773" t="str">
        <f t="shared" si="25"/>
        <v>#DIV/0!</v>
      </c>
      <c r="N196" s="604"/>
      <c r="O196" s="596"/>
      <c r="P196" s="605" t="str">
        <f t="shared" si="26"/>
        <v>#DIV/0!</v>
      </c>
      <c r="Q196" s="596"/>
      <c r="R196" s="605" t="str">
        <f t="shared" si="32"/>
        <v>#DIV/0!</v>
      </c>
      <c r="S196" s="604"/>
      <c r="T196" s="596"/>
      <c r="U196" s="776"/>
      <c r="V196" s="777"/>
      <c r="W196" s="778" t="str">
        <f t="shared" si="27"/>
        <v>#DIV/0!</v>
      </c>
      <c r="X196" s="604"/>
      <c r="Y196" s="596"/>
      <c r="Z196" s="608" t="str">
        <f t="shared" si="28"/>
        <v>#DIV/0!</v>
      </c>
      <c r="AA196" s="604"/>
      <c r="AB196" s="604"/>
      <c r="AC196" s="596"/>
      <c r="AD196" s="779" t="str">
        <f t="shared" si="33"/>
        <v/>
      </c>
      <c r="AE196" s="604"/>
      <c r="AF196" s="596"/>
      <c r="AG196" s="780" t="str">
        <f t="shared" si="29"/>
        <v>#DIV/0!</v>
      </c>
      <c r="AH196" s="596"/>
      <c r="AI196" s="781" t="str">
        <f t="shared" si="30"/>
        <v>#DIV/0!</v>
      </c>
      <c r="AJ196" s="604"/>
      <c r="AK196" s="596"/>
      <c r="AL196" s="782" t="str">
        <f t="shared" si="31"/>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104</v>
      </c>
      <c r="F197" s="615" t="s">
        <v>104</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259</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260</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0</v>
      </c>
      <c r="BH198" s="31" t="s">
        <v>261</v>
      </c>
      <c r="BI198" s="31"/>
      <c r="BJ198" s="31"/>
      <c r="BK198" s="31"/>
      <c r="BL198" s="1719" t="s">
        <v>262</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30" t="s">
        <v>263</v>
      </c>
      <c r="B200" s="632"/>
      <c r="C200" s="633"/>
      <c r="D200" s="633"/>
      <c r="E200" s="633"/>
      <c r="F200" s="633"/>
      <c r="G200" s="633"/>
      <c r="H200" s="633"/>
      <c r="I200" s="633"/>
      <c r="J200" s="547"/>
      <c r="K200" s="34"/>
      <c r="L200" s="1332" t="s">
        <v>264</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265</v>
      </c>
      <c r="BL200" s="636" t="s">
        <v>266</v>
      </c>
      <c r="BM200" s="637"/>
      <c r="BN200" s="31"/>
      <c r="BO200" s="636" t="s">
        <v>267</v>
      </c>
      <c r="BP200" s="637"/>
      <c r="BQ200" s="31"/>
      <c r="BR200" s="31"/>
      <c r="BS200" s="31"/>
      <c r="BT200" s="31"/>
      <c r="BU200" s="31"/>
      <c r="BV200" s="31"/>
      <c r="BW200" s="31"/>
      <c r="BX200" s="31"/>
      <c r="BY200" s="34"/>
      <c r="BZ200" s="34"/>
    </row>
    <row r="201" ht="12.75" customHeight="1">
      <c r="A201" s="1333"/>
      <c r="B201" s="86"/>
      <c r="C201" s="557" t="s">
        <v>247</v>
      </c>
      <c r="D201" s="85"/>
      <c r="E201" s="86"/>
      <c r="F201" s="557" t="s">
        <v>161</v>
      </c>
      <c r="G201" s="85"/>
      <c r="H201" s="86"/>
      <c r="I201" s="638" t="s">
        <v>250</v>
      </c>
      <c r="J201" s="85"/>
      <c r="K201" s="86"/>
      <c r="L201" s="639" t="s">
        <v>162</v>
      </c>
      <c r="M201" s="85"/>
      <c r="N201" s="639" t="s">
        <v>163</v>
      </c>
      <c r="O201" s="85"/>
      <c r="P201" s="86"/>
      <c r="Q201" s="639" t="s">
        <v>673</v>
      </c>
      <c r="R201" s="85"/>
      <c r="S201" s="86"/>
      <c r="T201" s="639" t="s">
        <v>166</v>
      </c>
      <c r="U201" s="85"/>
      <c r="V201" s="85"/>
      <c r="W201" s="85"/>
      <c r="X201" s="86"/>
      <c r="Y201" s="1720" t="s">
        <v>625</v>
      </c>
      <c r="Z201" s="85"/>
      <c r="AA201" s="86"/>
      <c r="AB201" s="639" t="s">
        <v>164</v>
      </c>
      <c r="AC201" s="85"/>
      <c r="AD201" s="86"/>
      <c r="AE201" s="639" t="s">
        <v>167</v>
      </c>
      <c r="AF201" s="85"/>
      <c r="AG201" s="86"/>
      <c r="AH201" s="639" t="s">
        <v>269</v>
      </c>
      <c r="AI201" s="85"/>
      <c r="AJ201" s="85"/>
      <c r="AK201" s="86"/>
      <c r="AL201" s="638" t="s">
        <v>270</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268</v>
      </c>
      <c r="BI201" s="64" t="s">
        <v>271</v>
      </c>
      <c r="BJ201" s="31"/>
      <c r="BK201" s="641">
        <f>+A88</f>
        <v>31</v>
      </c>
      <c r="BL201" s="656">
        <v>1.0</v>
      </c>
      <c r="BM201" s="643"/>
      <c r="BN201" s="31"/>
      <c r="BO201" s="644">
        <f>+A88</f>
        <v>31</v>
      </c>
      <c r="BP201" s="645"/>
      <c r="BQ201" s="31"/>
      <c r="BR201" s="31"/>
      <c r="BS201" s="31"/>
      <c r="BT201" s="31"/>
      <c r="BU201" s="31"/>
      <c r="BV201" s="31"/>
      <c r="BW201" s="31"/>
      <c r="BX201" s="31"/>
      <c r="BY201" s="34"/>
      <c r="BZ201" s="34"/>
    </row>
    <row r="202" ht="12.75" customHeight="1">
      <c r="A202" s="1334">
        <v>1.0</v>
      </c>
      <c r="B202" s="512"/>
      <c r="C202" s="646">
        <f>+Mercado!H4</f>
        <v>365</v>
      </c>
      <c r="D202" s="255"/>
      <c r="E202" s="253"/>
      <c r="F202" s="646">
        <f>+Mercado!J4</f>
        <v>3150000</v>
      </c>
      <c r="G202" s="255"/>
      <c r="H202" s="253"/>
      <c r="I202" s="647">
        <f>+Mercado!K4</f>
        <v>8630.136986</v>
      </c>
      <c r="J202" s="255"/>
      <c r="K202" s="253"/>
      <c r="L202" s="650">
        <v>1.0</v>
      </c>
      <c r="M202" s="567"/>
      <c r="N202" s="650">
        <v>1.0</v>
      </c>
      <c r="O202" s="567"/>
      <c r="P202" s="512"/>
      <c r="Q202" s="649">
        <v>1.0</v>
      </c>
      <c r="R202" s="255"/>
      <c r="S202" s="253"/>
      <c r="T202" s="650" t="str">
        <f t="shared" ref="T202:T206" si="34">+((0.25*C202/$G$111)+0.75)</f>
        <v>#DIV/0!</v>
      </c>
      <c r="U202" s="567"/>
      <c r="V202" s="567"/>
      <c r="W202" s="567"/>
      <c r="X202" s="512"/>
      <c r="Y202" s="650">
        <v>1.0</v>
      </c>
      <c r="Z202" s="567"/>
      <c r="AA202" s="512"/>
      <c r="AB202" s="650">
        <v>1.0</v>
      </c>
      <c r="AC202" s="567"/>
      <c r="AD202" s="512"/>
      <c r="AE202" s="1721">
        <v>0.95</v>
      </c>
      <c r="AF202" s="255"/>
      <c r="AG202" s="253"/>
      <c r="AH202" s="650" t="str">
        <f t="shared" ref="AH202:AH206" si="35">ROUND(L202*N202*Q202*T202*Y202*AB202*AE202,2)</f>
        <v>#DIV/0!</v>
      </c>
      <c r="AI202" s="567"/>
      <c r="AJ202" s="567"/>
      <c r="AK202" s="512"/>
      <c r="AL202" s="652" t="str">
        <f t="shared" ref="AL202:AL206" si="36">+I202*AH202</f>
        <v>#DIV/0!</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7">($C$111/C192)^(1/$BG$202)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8">
        <v>2.0</v>
      </c>
      <c r="B203" s="524"/>
      <c r="C203" s="657" t="str">
        <f>+Mercado!H5</f>
        <v/>
      </c>
      <c r="D203" s="582"/>
      <c r="E203" s="524"/>
      <c r="F203" s="657" t="str">
        <f>+Mercado!J5</f>
        <v/>
      </c>
      <c r="G203" s="582"/>
      <c r="H203" s="524"/>
      <c r="I203" s="658" t="str">
        <f>+Mercado!K5</f>
        <v/>
      </c>
      <c r="J203" s="582"/>
      <c r="K203" s="524"/>
      <c r="L203" s="659">
        <v>1.0</v>
      </c>
      <c r="M203" s="582"/>
      <c r="N203" s="659">
        <v>1.0</v>
      </c>
      <c r="O203" s="582"/>
      <c r="P203" s="524"/>
      <c r="Q203" s="659">
        <v>1.0</v>
      </c>
      <c r="R203" s="582"/>
      <c r="S203" s="524"/>
      <c r="T203" s="659" t="str">
        <f t="shared" si="34"/>
        <v>#DIV/0!</v>
      </c>
      <c r="U203" s="582"/>
      <c r="V203" s="582"/>
      <c r="W203" s="582"/>
      <c r="X203" s="524"/>
      <c r="Y203" s="659">
        <v>1.0</v>
      </c>
      <c r="Z203" s="582"/>
      <c r="AA203" s="524"/>
      <c r="AB203" s="1722">
        <v>1.0</v>
      </c>
      <c r="AC203" s="664"/>
      <c r="AD203" s="665"/>
      <c r="AE203" s="1723">
        <f t="shared" ref="AE203:AE206" si="38">+AE202</f>
        <v>0.95</v>
      </c>
      <c r="AF203" s="582"/>
      <c r="AG203" s="524"/>
      <c r="AH203" s="659" t="str">
        <f t="shared" si="35"/>
        <v>#DIV/0!</v>
      </c>
      <c r="AI203" s="582"/>
      <c r="AJ203" s="582"/>
      <c r="AK203" s="524"/>
      <c r="AL203" s="667" t="str">
        <f t="shared" si="36"/>
        <v>#DIV/0!</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9">+BG202</f>
        <v>6</v>
      </c>
      <c r="BH203" s="668" t="str">
        <f t="shared" ref="BH203:BH206" si="40">(R193/P193)^(1/BG203)</f>
        <v>#DIV/0!</v>
      </c>
      <c r="BI203" s="668" t="str">
        <f t="shared" si="37"/>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8">
        <v>3.0</v>
      </c>
      <c r="B204" s="524"/>
      <c r="C204" s="657">
        <f>+Mercado!H6</f>
        <v>200</v>
      </c>
      <c r="D204" s="582"/>
      <c r="E204" s="524"/>
      <c r="F204" s="657">
        <f>+Mercado!J6</f>
        <v>2400000</v>
      </c>
      <c r="G204" s="582"/>
      <c r="H204" s="524"/>
      <c r="I204" s="658">
        <f>+Mercado!K6</f>
        <v>12000</v>
      </c>
      <c r="J204" s="582"/>
      <c r="K204" s="524"/>
      <c r="L204" s="659">
        <v>1.0</v>
      </c>
      <c r="M204" s="582"/>
      <c r="N204" s="1724">
        <v>1.0</v>
      </c>
      <c r="O204" s="582"/>
      <c r="P204" s="524"/>
      <c r="Q204" s="659">
        <v>1.0</v>
      </c>
      <c r="R204" s="582"/>
      <c r="S204" s="524"/>
      <c r="T204" s="659" t="str">
        <f t="shared" si="34"/>
        <v>#DIV/0!</v>
      </c>
      <c r="U204" s="582"/>
      <c r="V204" s="582"/>
      <c r="W204" s="582"/>
      <c r="X204" s="524"/>
      <c r="Y204" s="659">
        <v>1.0</v>
      </c>
      <c r="Z204" s="582"/>
      <c r="AA204" s="524"/>
      <c r="AB204" s="1724">
        <v>1.0</v>
      </c>
      <c r="AC204" s="582"/>
      <c r="AD204" s="524"/>
      <c r="AE204" s="1723">
        <f t="shared" si="38"/>
        <v>0.95</v>
      </c>
      <c r="AF204" s="582"/>
      <c r="AG204" s="524"/>
      <c r="AH204" s="659" t="str">
        <f t="shared" si="35"/>
        <v>#DIV/0!</v>
      </c>
      <c r="AI204" s="582"/>
      <c r="AJ204" s="582"/>
      <c r="AK204" s="524"/>
      <c r="AL204" s="667" t="str">
        <f t="shared" si="36"/>
        <v>#DIV/0!</v>
      </c>
      <c r="AM204" s="524"/>
      <c r="AN204" s="31"/>
      <c r="AO204" s="64"/>
      <c r="BG204" s="654">
        <f t="shared" si="39"/>
        <v>6</v>
      </c>
      <c r="BH204" s="668" t="str">
        <f t="shared" si="40"/>
        <v>#DIV/0!</v>
      </c>
      <c r="BI204" s="668" t="str">
        <f t="shared" si="37"/>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8">
        <v>4.0</v>
      </c>
      <c r="B205" s="524"/>
      <c r="C205" s="657" t="str">
        <f>+Mercado!H7</f>
        <v/>
      </c>
      <c r="D205" s="582"/>
      <c r="E205" s="524"/>
      <c r="F205" s="657" t="str">
        <f>+Mercado!J7</f>
        <v/>
      </c>
      <c r="G205" s="582"/>
      <c r="H205" s="524"/>
      <c r="I205" s="658" t="str">
        <f>+Mercado!K7</f>
        <v/>
      </c>
      <c r="J205" s="582"/>
      <c r="K205" s="524"/>
      <c r="L205" s="1724">
        <v>1.0</v>
      </c>
      <c r="M205" s="582"/>
      <c r="N205" s="1724">
        <v>1.0</v>
      </c>
      <c r="O205" s="582"/>
      <c r="P205" s="524"/>
      <c r="Q205" s="659">
        <v>1.0</v>
      </c>
      <c r="R205" s="582"/>
      <c r="S205" s="524"/>
      <c r="T205" s="659" t="str">
        <f t="shared" si="34"/>
        <v>#DIV/0!</v>
      </c>
      <c r="U205" s="582"/>
      <c r="V205" s="582"/>
      <c r="W205" s="582"/>
      <c r="X205" s="524"/>
      <c r="Y205" s="659">
        <v>1.0</v>
      </c>
      <c r="Z205" s="582"/>
      <c r="AA205" s="524"/>
      <c r="AB205" s="1724">
        <v>1.0</v>
      </c>
      <c r="AC205" s="582"/>
      <c r="AD205" s="524"/>
      <c r="AE205" s="1723">
        <f t="shared" si="38"/>
        <v>0.95</v>
      </c>
      <c r="AF205" s="582"/>
      <c r="AG205" s="524"/>
      <c r="AH205" s="659" t="str">
        <f t="shared" si="35"/>
        <v>#DIV/0!</v>
      </c>
      <c r="AI205" s="582"/>
      <c r="AJ205" s="582"/>
      <c r="AK205" s="524"/>
      <c r="AL205" s="667" t="str">
        <f t="shared" si="36"/>
        <v>#DIV/0!</v>
      </c>
      <c r="AM205" s="524"/>
      <c r="AN205" s="31"/>
      <c r="AO205" s="64"/>
      <c r="BG205" s="654">
        <f t="shared" si="39"/>
        <v>6</v>
      </c>
      <c r="BH205" s="668" t="str">
        <f t="shared" si="40"/>
        <v>#DIV/0!</v>
      </c>
      <c r="BI205" s="668" t="str">
        <f t="shared" si="37"/>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41">
        <v>5.0</v>
      </c>
      <c r="B206" s="1342"/>
      <c r="C206" s="672" t="str">
        <f>+Mercado!H8</f>
        <v/>
      </c>
      <c r="D206" s="604"/>
      <c r="E206" s="596"/>
      <c r="F206" s="672" t="str">
        <f>+Mercado!J8</f>
        <v/>
      </c>
      <c r="G206" s="604"/>
      <c r="H206" s="596"/>
      <c r="I206" s="673" t="str">
        <f>+Mercado!K8</f>
        <v/>
      </c>
      <c r="J206" s="604"/>
      <c r="K206" s="596"/>
      <c r="L206" s="1725">
        <v>1.0</v>
      </c>
      <c r="M206" s="596"/>
      <c r="N206" s="1725">
        <v>1.0</v>
      </c>
      <c r="O206" s="604"/>
      <c r="P206" s="596"/>
      <c r="Q206" s="674">
        <v>1.0</v>
      </c>
      <c r="R206" s="604"/>
      <c r="S206" s="596"/>
      <c r="T206" s="1726" t="str">
        <f t="shared" si="34"/>
        <v>#DIV/0!</v>
      </c>
      <c r="U206" s="598"/>
      <c r="V206" s="598"/>
      <c r="W206" s="598"/>
      <c r="X206" s="602"/>
      <c r="Y206" s="674">
        <v>1.0</v>
      </c>
      <c r="Z206" s="604"/>
      <c r="AA206" s="596"/>
      <c r="AB206" s="1725">
        <v>1.0</v>
      </c>
      <c r="AC206" s="604"/>
      <c r="AD206" s="596"/>
      <c r="AE206" s="1727">
        <f t="shared" si="38"/>
        <v>0.95</v>
      </c>
      <c r="AF206" s="604"/>
      <c r="AG206" s="596"/>
      <c r="AH206" s="674" t="str">
        <f t="shared" si="35"/>
        <v>#DIV/0!</v>
      </c>
      <c r="AI206" s="604"/>
      <c r="AJ206" s="604"/>
      <c r="AK206" s="596"/>
      <c r="AL206" s="676" t="str">
        <f t="shared" si="36"/>
        <v>#DIV/0!</v>
      </c>
      <c r="AM206" s="596"/>
      <c r="AN206" s="31"/>
      <c r="AO206" s="64"/>
      <c r="BG206" s="654">
        <f t="shared" si="39"/>
        <v>6</v>
      </c>
      <c r="BH206" s="677" t="str">
        <f t="shared" si="40"/>
        <v>#DIV/0!</v>
      </c>
      <c r="BI206" s="677" t="str">
        <f t="shared" si="37"/>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568"/>
      <c r="B207" s="1568"/>
      <c r="C207" s="1728"/>
      <c r="D207" s="1728"/>
      <c r="E207" s="1728"/>
      <c r="F207" s="1728"/>
      <c r="G207" s="1728"/>
      <c r="H207" s="1728"/>
      <c r="I207" s="1729"/>
      <c r="J207" s="1729"/>
      <c r="K207" s="1729"/>
      <c r="L207" s="1730"/>
      <c r="M207" s="1730"/>
      <c r="N207" s="1730"/>
      <c r="O207" s="1730"/>
      <c r="P207" s="1730"/>
      <c r="Q207" s="1731"/>
      <c r="R207" s="1731"/>
      <c r="S207" s="1731"/>
      <c r="T207" s="1732"/>
      <c r="U207" s="1732"/>
      <c r="V207" s="1732"/>
      <c r="W207" s="1732"/>
      <c r="X207" s="1732"/>
      <c r="Y207" s="1730"/>
      <c r="Z207" s="1730"/>
      <c r="AA207" s="1730"/>
      <c r="AB207" s="1730"/>
      <c r="AC207" s="1730"/>
      <c r="AD207" s="1730"/>
      <c r="AE207" s="1733"/>
      <c r="AF207" s="1733"/>
      <c r="AG207" s="1733"/>
      <c r="AH207" s="1730" t="s">
        <v>104</v>
      </c>
      <c r="AI207" s="1730"/>
      <c r="AJ207" s="1730"/>
      <c r="AK207" s="1730"/>
      <c r="AL207" s="1734"/>
      <c r="AM207" s="17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6"/>
      <c r="B208" s="1346"/>
      <c r="C208" s="1347"/>
      <c r="D208" s="1347"/>
      <c r="E208" s="720"/>
      <c r="F208" s="1348"/>
      <c r="G208" s="1348"/>
      <c r="H208" s="1349" t="s">
        <v>259</v>
      </c>
      <c r="I208" s="1735">
        <f>AVERAGE(I202:I206)</f>
        <v>10315.06849</v>
      </c>
      <c r="J208" s="482"/>
      <c r="K208" s="483"/>
      <c r="L208" s="1351" t="s">
        <v>272</v>
      </c>
      <c r="M208" s="1351"/>
      <c r="N208" s="720"/>
      <c r="O208" s="1736" t="s">
        <v>273</v>
      </c>
      <c r="P208" s="467"/>
      <c r="Q208" s="467"/>
      <c r="R208" s="467"/>
      <c r="S208" s="467"/>
      <c r="T208" s="467"/>
      <c r="U208" s="467"/>
      <c r="V208" s="467"/>
      <c r="W208" s="467"/>
      <c r="X208" s="467"/>
      <c r="Y208" s="467"/>
      <c r="Z208" s="467"/>
      <c r="AA208" s="467"/>
      <c r="AB208" s="467"/>
      <c r="AC208" s="467"/>
      <c r="AD208" s="467"/>
      <c r="AE208" s="467"/>
      <c r="AF208" s="467"/>
      <c r="AG208" s="695"/>
      <c r="AH208" s="1737" t="s">
        <v>674</v>
      </c>
      <c r="AK208" s="1656"/>
      <c r="AL208" s="1738" t="str">
        <f>AVERAGE(AL202:AL207)</f>
        <v>#DIV/0!</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1739" t="s">
        <v>274</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1740" t="s">
        <v>275</v>
      </c>
      <c r="D210" s="1740"/>
      <c r="E210" s="1741"/>
      <c r="F210" s="1741"/>
      <c r="G210" s="1741"/>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1742" t="s">
        <v>276</v>
      </c>
      <c r="D211" s="1743"/>
      <c r="E211" s="1744" t="str">
        <f>MIN(AL202:AL206)</f>
        <v>#DIV/0!</v>
      </c>
      <c r="F211" s="85"/>
      <c r="G211" s="85"/>
      <c r="H211" s="86"/>
      <c r="I211" s="1745" t="s">
        <v>277</v>
      </c>
      <c r="J211" s="822"/>
      <c r="K211" s="1741"/>
      <c r="L211" s="713"/>
      <c r="M211" s="713"/>
      <c r="N211" s="713"/>
      <c r="O211" s="701"/>
      <c r="P211" s="701"/>
      <c r="Q211" s="703"/>
      <c r="R211" s="714"/>
      <c r="S211" s="703"/>
      <c r="T211" s="1746"/>
      <c r="U211" s="1746"/>
      <c r="V211" s="1746"/>
      <c r="W211" s="1746"/>
      <c r="X211" s="1746"/>
      <c r="Y211" s="820" t="s">
        <v>278</v>
      </c>
      <c r="Z211" s="1747" t="str">
        <f>AL208</f>
        <v>#DIV/0!</v>
      </c>
      <c r="AA211" s="85"/>
      <c r="AB211" s="85"/>
      <c r="AC211" s="85"/>
      <c r="AD211" s="86"/>
      <c r="AE211" s="1745" t="s">
        <v>277</v>
      </c>
      <c r="AF211" s="1746"/>
      <c r="AG211" s="1746"/>
      <c r="AH211" s="1746"/>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1748" t="s">
        <v>259</v>
      </c>
      <c r="D212" s="1743"/>
      <c r="E212" s="1744" t="str">
        <f>AL208</f>
        <v>#DIV/0!</v>
      </c>
      <c r="F212" s="85"/>
      <c r="G212" s="85"/>
      <c r="H212" s="86"/>
      <c r="I212" s="1745" t="s">
        <v>277</v>
      </c>
      <c r="J212" s="822"/>
      <c r="K212" s="1741"/>
      <c r="L212" s="713"/>
      <c r="M212" s="713"/>
      <c r="N212" s="713"/>
      <c r="O212" s="701"/>
      <c r="P212" s="701"/>
      <c r="Q212" s="703"/>
      <c r="R212" s="714"/>
      <c r="S212" s="703"/>
      <c r="T212" s="1746"/>
      <c r="U212" s="1746"/>
      <c r="V212" s="1746"/>
      <c r="W212" s="1746"/>
      <c r="X212" s="1746"/>
      <c r="Y212" s="820" t="s">
        <v>280</v>
      </c>
      <c r="Z212" s="1749">
        <f>'OPI Terreno'!K123</f>
        <v>0</v>
      </c>
      <c r="AA212" s="85"/>
      <c r="AB212" s="85"/>
      <c r="AC212" s="85"/>
      <c r="AD212" s="86"/>
      <c r="AE212" s="1741"/>
      <c r="AF212" s="1746"/>
      <c r="AG212" s="1746"/>
      <c r="AH212" s="1746"/>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1750" t="s">
        <v>281</v>
      </c>
      <c r="D213" s="1743"/>
      <c r="E213" s="1751" t="str">
        <f>MAX(AL202:AL206)</f>
        <v>#DIV/0!</v>
      </c>
      <c r="F213" s="85"/>
      <c r="G213" s="85"/>
      <c r="H213" s="86"/>
      <c r="I213" s="1745" t="s">
        <v>277</v>
      </c>
      <c r="J213" s="822"/>
      <c r="K213" s="1741"/>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1752" t="s">
        <v>675</v>
      </c>
      <c r="AJ214" s="1753" t="str">
        <f>+Z211*G111</f>
        <v>#DIV/0!</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1752" t="s">
        <v>676</v>
      </c>
      <c r="AJ215" s="1754">
        <f>+AJ123</f>
        <v>0</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71" t="s">
        <v>283</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755" t="s">
        <v>677</v>
      </c>
      <c r="AJ216" s="1756" t="str">
        <f>+AJ215+AJ214+AJ145</f>
        <v>#DIV/0!</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1757" t="s">
        <v>678</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1758" t="s">
        <v>679</v>
      </c>
      <c r="AJ217" s="481" t="str">
        <f>AJ216*AP217</f>
        <v>#DIV/0!</v>
      </c>
      <c r="AK217" s="482"/>
      <c r="AL217" s="482"/>
      <c r="AM217" s="1759"/>
      <c r="AN217" s="31"/>
      <c r="AO217" s="1760" t="s">
        <v>104</v>
      </c>
      <c r="AP217" s="1653">
        <f>AP152</f>
        <v>0.004</v>
      </c>
      <c r="AQ217" s="1633"/>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761"/>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31"/>
      <c r="AO218" s="1765"/>
      <c r="AP218" s="1766"/>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5"/>
      <c r="AP219" s="1766"/>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765"/>
      <c r="AP220" s="1767"/>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765"/>
      <c r="AP221" s="1767"/>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285</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286</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287</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288</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289</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220</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222</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223</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1768" t="s">
        <v>294</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1769" t="str">
        <f>VLOOKUP("4.jp*g",Fotos!$A$2:$E395,5,FALSE)</f>
        <v/>
      </c>
      <c r="N252" s="1029"/>
      <c r="O252" s="1769" t="str">
        <f>VLOOKUP("5.jp*g",Fotos!$A$2:$E395,5,FALSE)</f>
        <v/>
      </c>
      <c r="AB252" s="1029"/>
      <c r="AC252" s="1769"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9"/>
      <c r="AB253" s="1029"/>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9"/>
      <c r="AB254" s="1029"/>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9"/>
      <c r="AB255" s="1029"/>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9"/>
      <c r="AB256" s="1029"/>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9"/>
      <c r="AB257" s="1029"/>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9"/>
      <c r="AB258" s="1029"/>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9"/>
      <c r="AB259" s="1029"/>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9"/>
      <c r="AB260" s="1029"/>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9"/>
      <c r="AB261" s="1029"/>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9"/>
      <c r="AB262" s="1029"/>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9"/>
      <c r="AB263" s="1029"/>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9"/>
      <c r="AB264" s="1029"/>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1769" t="str">
        <f>VLOOKUP("7.jp*g",Fotos!$A$2:$E395,5,FALSE)</f>
        <v/>
      </c>
      <c r="N266" s="1029"/>
      <c r="O266" s="1769" t="str">
        <f>VLOOKUP("8.jp*g",Fotos!$A$2:$E395,5,FALSE)</f>
        <v/>
      </c>
      <c r="AB266" s="1029"/>
      <c r="AC266" s="1769"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9"/>
      <c r="AB267" s="1029"/>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9"/>
      <c r="AB268" s="1029"/>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9"/>
      <c r="AB269" s="1029"/>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9"/>
      <c r="AB270" s="1029"/>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9"/>
      <c r="AB271" s="1029"/>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9"/>
      <c r="AB272" s="1029"/>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9"/>
      <c r="AB273" s="1029"/>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9"/>
      <c r="AB274" s="1029"/>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9"/>
      <c r="AB275" s="1029"/>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9"/>
      <c r="AB276" s="1029"/>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9"/>
      <c r="AB277" s="1029"/>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9"/>
      <c r="AB278" s="1029"/>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1769" t="str">
        <f>VLOOKUP("10.jp*g",Fotos!$A$2:$E395,5,FALSE)</f>
        <v/>
      </c>
      <c r="N280" s="1029"/>
      <c r="O280" s="1769" t="str">
        <f>VLOOKUP("11.jp*g",Fotos!$A$2:$E395,5,FALSE)</f>
        <v/>
      </c>
      <c r="AB280" s="1029"/>
      <c r="AC280" s="1769"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9"/>
      <c r="AB281" s="1029"/>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9"/>
      <c r="AB282" s="1029"/>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9"/>
      <c r="AB283" s="1029"/>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9"/>
      <c r="AB284" s="1029"/>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9"/>
      <c r="AB285" s="1029"/>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9"/>
      <c r="AB286" s="1029"/>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9"/>
      <c r="AB287" s="1029"/>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9"/>
      <c r="AB288" s="1029"/>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9"/>
      <c r="AB289" s="1029"/>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9"/>
      <c r="AB290" s="1029"/>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9"/>
      <c r="AB291" s="1029"/>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9"/>
      <c r="AB292" s="1029"/>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1769" t="str">
        <f>VLOOKUP("13.jp*g",Fotos!$A$2:$E395,5,FALSE)</f>
        <v/>
      </c>
      <c r="N294" s="1029"/>
      <c r="O294" s="1769" t="str">
        <f>VLOOKUP("14.jp*g",Fotos!$A$2:$E395,5,FALSE)</f>
        <v/>
      </c>
      <c r="AB294" s="1029"/>
      <c r="AC294" s="1769" t="str">
        <f>VLOOKUP("15.jp*g",Fotos!$A$2:$E395,5,FALSE)</f>
        <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9"/>
      <c r="AB295" s="1029"/>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9"/>
      <c r="AB296" s="1029"/>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9"/>
      <c r="AB297" s="1029"/>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9"/>
      <c r="AB298" s="1029"/>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9"/>
      <c r="AB299" s="1029"/>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9"/>
      <c r="AB300" s="1029"/>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9"/>
      <c r="AB301" s="1029"/>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9"/>
      <c r="AB302" s="1029"/>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9"/>
      <c r="AB303" s="1029"/>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9"/>
      <c r="AB304" s="1029"/>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9"/>
      <c r="AB305" s="1029"/>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9"/>
      <c r="AB306" s="1029"/>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9"/>
      <c r="B307" s="1029"/>
      <c r="C307" s="1029"/>
      <c r="D307" s="1029"/>
      <c r="E307" s="1029"/>
      <c r="F307" s="1029"/>
      <c r="G307" s="1029"/>
      <c r="H307" s="1029"/>
      <c r="I307" s="1029"/>
      <c r="J307" s="1029"/>
      <c r="K307" s="1029"/>
      <c r="L307" s="1029"/>
      <c r="M307" s="1029"/>
      <c r="N307" s="1029"/>
      <c r="O307" s="1029"/>
      <c r="P307" s="1029"/>
      <c r="Q307" s="1029"/>
      <c r="R307" s="1029"/>
      <c r="S307" s="1029"/>
      <c r="T307" s="1029"/>
      <c r="U307" s="1029"/>
      <c r="V307" s="1029"/>
      <c r="W307" s="1029"/>
      <c r="X307" s="1029"/>
      <c r="Y307" s="1029"/>
      <c r="Z307" s="1029"/>
      <c r="AA307" s="1029"/>
      <c r="AB307" s="1029"/>
      <c r="AC307" s="1029"/>
      <c r="AD307" s="1029"/>
      <c r="AE307" s="1029"/>
      <c r="AF307" s="1029"/>
      <c r="AG307" s="1029"/>
      <c r="AH307" s="1029"/>
      <c r="AI307" s="1029"/>
      <c r="AJ307" s="1029"/>
      <c r="AK307" s="1029"/>
      <c r="AL307" s="1029"/>
      <c r="AM307" s="1029"/>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1769" t="str">
        <f>VLOOKUP("16.jp*g",Fotos!$A$2:$E395,5,FALSE)</f>
        <v/>
      </c>
      <c r="N308" s="1029"/>
      <c r="O308" s="1770" t="str">
        <f>VLOOKUP("17.jp*g",Fotos!$A$2:$E395,5,FALSE)</f>
        <v/>
      </c>
      <c r="AB308" s="1029"/>
      <c r="AC308" s="1770" t="str">
        <f>VLOOKUP("18.jp*g",Fotos!$A$2:$E395,5,FALSE)</f>
        <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9"/>
      <c r="AB309" s="1029"/>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9"/>
      <c r="AB310" s="1029"/>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9"/>
      <c r="AB311" s="1029"/>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9"/>
      <c r="AB312" s="1029"/>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9"/>
      <c r="AB313" s="1029"/>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9"/>
      <c r="AB314" s="1029"/>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9"/>
      <c r="AB315" s="1029"/>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9"/>
      <c r="AB316" s="1029"/>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9"/>
      <c r="AB317" s="1029"/>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9"/>
      <c r="AB318" s="1029"/>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9"/>
      <c r="AB319" s="1029"/>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9"/>
      <c r="AB320" s="1029"/>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1771" t="s">
        <v>295</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772"/>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773"/>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774"/>
      <c r="AD327" s="1774"/>
      <c r="AE327" s="1774"/>
      <c r="AF327" s="1774"/>
      <c r="AG327" s="1774"/>
      <c r="AH327" s="1774"/>
      <c r="AI327" s="1774"/>
      <c r="AJ327" s="1774"/>
      <c r="AK327" s="177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775"/>
      <c r="AL328" s="34"/>
      <c r="AM328" s="34"/>
      <c r="AN328" s="31"/>
      <c r="AO328" s="31"/>
      <c r="AP328" s="1776" t="s">
        <v>680</v>
      </c>
      <c r="AQ328" s="1777" t="s">
        <v>681</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774"/>
      <c r="AD329" s="1774"/>
      <c r="AE329" s="1774"/>
      <c r="AF329" s="1774"/>
      <c r="AG329" s="1774"/>
      <c r="AH329" s="1774"/>
      <c r="AI329" s="1774"/>
      <c r="AJ329" s="1774"/>
      <c r="AK329" s="1774"/>
      <c r="AL329" s="842"/>
      <c r="AM329" s="842"/>
      <c r="AN329" s="1778"/>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300</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779"/>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774"/>
      <c r="G336" s="1774"/>
      <c r="H336" s="1774"/>
      <c r="I336" s="1774"/>
      <c r="J336" s="1774"/>
      <c r="K336" s="1774"/>
      <c r="L336" s="1774"/>
      <c r="M336" s="1774"/>
      <c r="N336" s="1774"/>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775"/>
      <c r="O337" s="848"/>
      <c r="P337" s="848"/>
      <c r="Q337" s="848"/>
      <c r="R337" s="34"/>
      <c r="S337" s="34"/>
      <c r="T337" s="34"/>
      <c r="U337" s="34"/>
      <c r="V337" s="34"/>
      <c r="W337" s="34"/>
      <c r="X337" s="34"/>
      <c r="Y337" s="34"/>
      <c r="Z337" s="854"/>
      <c r="AA337" s="854"/>
      <c r="AB337" s="846"/>
      <c r="AC337" s="1774"/>
      <c r="AD337" s="1774"/>
      <c r="AE337" s="1774"/>
      <c r="AF337" s="1774"/>
      <c r="AG337" s="1774"/>
      <c r="AH337" s="1774"/>
      <c r="AI337" s="1774"/>
      <c r="AJ337" s="1774"/>
      <c r="AK337" s="1774"/>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774"/>
      <c r="G338" s="1774"/>
      <c r="H338" s="1774"/>
      <c r="I338" s="1774"/>
      <c r="J338" s="1774"/>
      <c r="K338" s="1774"/>
      <c r="L338" s="1774"/>
      <c r="M338" s="1774"/>
      <c r="N338" s="1774"/>
      <c r="O338" s="34"/>
      <c r="P338" s="34"/>
      <c r="Q338" s="34"/>
      <c r="R338" s="34"/>
      <c r="S338" s="34"/>
      <c r="T338" s="34"/>
      <c r="U338" s="34"/>
      <c r="V338" s="34"/>
      <c r="W338" s="34"/>
      <c r="X338" s="34"/>
      <c r="Y338" s="34"/>
      <c r="Z338" s="856"/>
      <c r="AA338" s="856"/>
      <c r="AB338" s="82"/>
      <c r="AC338" s="1775"/>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774"/>
      <c r="U339" s="1774"/>
      <c r="V339" s="1774"/>
      <c r="W339" s="1774"/>
      <c r="X339" s="1774"/>
      <c r="Y339" s="1774"/>
      <c r="Z339" s="34"/>
      <c r="AA339" s="34"/>
      <c r="AB339" s="34"/>
      <c r="AC339" s="1774"/>
      <c r="AD339" s="1774"/>
      <c r="AE339" s="1774"/>
      <c r="AF339" s="1774"/>
      <c r="AG339" s="1774"/>
      <c r="AH339" s="1774"/>
      <c r="AI339" s="1774"/>
      <c r="AJ339" s="1774"/>
      <c r="AK339" s="177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780" t="s">
        <v>303</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774"/>
      <c r="AD341" s="1774"/>
      <c r="AE341" s="1774"/>
      <c r="AF341" s="1774"/>
      <c r="AG341" s="1774"/>
      <c r="AH341" s="1774"/>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1781"/>
      <c r="C346" s="1781"/>
      <c r="J346" s="1782" t="s">
        <v>682</v>
      </c>
      <c r="K346" s="1781"/>
      <c r="L346" s="1781"/>
      <c r="M346" s="1781"/>
      <c r="N346" s="1781"/>
      <c r="O346" s="1781"/>
      <c r="P346" s="1781"/>
      <c r="Q346" s="1781"/>
      <c r="U346" s="942"/>
      <c r="V346" s="1781"/>
      <c r="X346" s="1781"/>
      <c r="Y346" s="1781"/>
      <c r="Z346" s="1781"/>
      <c r="AD346" s="1782" t="s">
        <v>683</v>
      </c>
      <c r="AE346" s="1781"/>
      <c r="AF346" s="1781"/>
      <c r="AG346" s="1781"/>
      <c r="AH346" s="1781"/>
      <c r="AI346" s="1781"/>
      <c r="AJ346" s="1781"/>
      <c r="AK346" s="1781"/>
      <c r="AL346" s="1781"/>
      <c r="AM346" s="178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1781" t="str">
        <f t="shared" ref="A347:A359" si="41">IF($C347&lt;&gt;"", ROW()-ROW($C$347)+1, "")
</f>
        <v/>
      </c>
      <c r="B347" s="1781"/>
      <c r="C347" s="1781"/>
      <c r="U347" s="942"/>
      <c r="V347" s="1781" t="str">
        <f>IF($X347&lt;&gt;"", ROW()-ROW($X$347)+1, "")
</f>
        <v/>
      </c>
      <c r="W347" s="178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1781" t="str">
        <f t="shared" si="41"/>
        <v/>
      </c>
      <c r="B348" s="1781"/>
      <c r="C348" s="1781"/>
      <c r="U348" s="942"/>
      <c r="V348" s="1781" t="str">
        <f t="shared" ref="V348:V359" si="42">IF(X348&lt;&gt;"", ROW()-352, "")
</f>
        <v/>
      </c>
      <c r="W348" s="178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1781" t="str">
        <f t="shared" si="41"/>
        <v/>
      </c>
      <c r="B349" s="1781"/>
      <c r="C349" s="1781"/>
      <c r="U349" s="942"/>
      <c r="V349" s="1781" t="str">
        <f t="shared" si="42"/>
        <v/>
      </c>
      <c r="W349" s="178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customHeight="1">
      <c r="A350" s="1781" t="str">
        <f t="shared" si="41"/>
        <v/>
      </c>
      <c r="B350" s="1781"/>
      <c r="C350" s="1781"/>
      <c r="U350" s="942"/>
      <c r="V350" s="1781" t="str">
        <f t="shared" si="42"/>
        <v/>
      </c>
      <c r="W350" s="178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customHeight="1">
      <c r="A351" s="1781" t="str">
        <f t="shared" si="41"/>
        <v/>
      </c>
      <c r="B351" s="1781"/>
      <c r="C351" s="1781"/>
      <c r="U351" s="942"/>
      <c r="V351" s="1781" t="str">
        <f t="shared" si="42"/>
        <v/>
      </c>
      <c r="W351" s="178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customHeight="1">
      <c r="A352" s="1781" t="str">
        <f t="shared" si="41"/>
        <v/>
      </c>
      <c r="B352" s="1781"/>
      <c r="C352" s="1781"/>
      <c r="U352" s="942"/>
      <c r="V352" s="1781" t="str">
        <f t="shared" si="42"/>
        <v/>
      </c>
      <c r="W352" s="178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customHeight="1">
      <c r="A353" s="1781" t="str">
        <f t="shared" si="41"/>
        <v/>
      </c>
      <c r="B353" s="1781"/>
      <c r="C353" s="1781"/>
      <c r="U353" s="942"/>
      <c r="V353" s="1781" t="str">
        <f t="shared" si="42"/>
        <v/>
      </c>
      <c r="W353" s="178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customHeight="1">
      <c r="A354" s="1781" t="str">
        <f t="shared" si="41"/>
        <v/>
      </c>
      <c r="B354" s="1781"/>
      <c r="C354" s="1781"/>
      <c r="U354" s="942"/>
      <c r="V354" s="1781" t="str">
        <f t="shared" si="42"/>
        <v/>
      </c>
      <c r="W354" s="178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customHeight="1">
      <c r="A355" s="1781" t="str">
        <f t="shared" si="41"/>
        <v/>
      </c>
      <c r="B355" s="1781"/>
      <c r="C355" s="1781"/>
      <c r="U355" s="942"/>
      <c r="V355" s="1781" t="str">
        <f t="shared" si="42"/>
        <v/>
      </c>
      <c r="W355" s="178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customHeight="1">
      <c r="A356" s="1781" t="str">
        <f t="shared" si="41"/>
        <v/>
      </c>
      <c r="B356" s="1781"/>
      <c r="C356" s="1781"/>
      <c r="U356" s="942"/>
      <c r="V356" s="1781" t="str">
        <f t="shared" si="42"/>
        <v/>
      </c>
      <c r="W356" s="178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1781" t="str">
        <f t="shared" si="41"/>
        <v/>
      </c>
      <c r="B357" s="1781"/>
      <c r="C357" s="1781"/>
      <c r="U357" s="942"/>
      <c r="V357" s="1781" t="str">
        <f t="shared" si="42"/>
        <v/>
      </c>
      <c r="W357" s="178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1781" t="str">
        <f t="shared" si="41"/>
        <v/>
      </c>
      <c r="B358" s="1781"/>
      <c r="C358" s="1781"/>
      <c r="U358" s="942"/>
      <c r="V358" s="1781" t="str">
        <f t="shared" si="42"/>
        <v/>
      </c>
      <c r="W358" s="178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1781" t="str">
        <f t="shared" si="41"/>
        <v/>
      </c>
      <c r="B359" s="1781"/>
      <c r="C359" s="1781"/>
      <c r="U359" s="942"/>
      <c r="V359" s="1781" t="str">
        <f t="shared" si="42"/>
        <v/>
      </c>
      <c r="W359" s="178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customHeight="1">
      <c r="B360" s="1781"/>
      <c r="C360" s="1781"/>
      <c r="D360" s="1781"/>
      <c r="E360" s="1781"/>
      <c r="F360" s="1781"/>
      <c r="G360" s="1781"/>
      <c r="H360" s="1781"/>
      <c r="I360" s="1781"/>
      <c r="J360" s="1781"/>
      <c r="K360" s="1781"/>
      <c r="L360" s="1781"/>
      <c r="M360" s="1781"/>
      <c r="N360" s="1781"/>
      <c r="O360" s="1781"/>
      <c r="P360" s="1781"/>
      <c r="Q360" s="1781"/>
      <c r="R360" s="1781"/>
      <c r="T360" s="1781"/>
      <c r="U360" s="1781"/>
      <c r="V360" s="1781"/>
      <c r="W360" s="1781"/>
      <c r="X360" s="1781"/>
      <c r="Y360" s="1781"/>
      <c r="Z360" s="1781"/>
      <c r="AA360" s="1781"/>
      <c r="AB360" s="1781"/>
      <c r="AC360" s="1781"/>
      <c r="AD360" s="1781"/>
      <c r="AE360" s="1781"/>
      <c r="AF360" s="1781"/>
      <c r="AG360" s="1781"/>
      <c r="AH360" s="1781"/>
      <c r="AI360" s="1781"/>
      <c r="AJ360" s="1781"/>
      <c r="AK360" s="1781"/>
      <c r="AL360" s="1781"/>
      <c r="AM360" s="1781"/>
      <c r="AN360" s="31"/>
      <c r="AO360" s="31"/>
      <c r="AP360" s="31"/>
      <c r="AQ360" s="31"/>
      <c r="AR360" s="56"/>
      <c r="AS360" s="56"/>
      <c r="AT360" s="863" t="str">
        <f>TRUNC(AR362,-7)</f>
        <v>#DIV/0!</v>
      </c>
      <c r="AU360" s="863"/>
      <c r="AV360" s="863" t="str">
        <f>TRUNC(AR362,-6)</f>
        <v>#DIV/0!</v>
      </c>
      <c r="AW360" s="863" t="str">
        <f>TRUNC(AR362,-5)</f>
        <v>#DIV/0!</v>
      </c>
      <c r="AX360" s="863"/>
      <c r="AY360" s="863" t="str">
        <f>TRUNC(AR362,-4)</f>
        <v>#DIV/0!</v>
      </c>
      <c r="AZ360" s="863" t="str">
        <f>TRUNC(AR362,-3)</f>
        <v>#DIV/0!</v>
      </c>
      <c r="BA360" s="863"/>
      <c r="BB360" s="863" t="str">
        <f>TRUNC(AR362,-2)</f>
        <v>#DIV/0!</v>
      </c>
      <c r="BC360" s="863" t="str">
        <f>TRUNC(AR362,-1)</f>
        <v>#DIV/0!</v>
      </c>
      <c r="BD360" s="863"/>
      <c r="BE360" s="863" t="str">
        <f>TRUNC(AR362,0)</f>
        <v>#DIV/0!</v>
      </c>
      <c r="BF360" s="863" t="str">
        <f>IF(AR362-BE360&gt;0,(AR362-BE360)*100,"00")</f>
        <v>#DIV/0!</v>
      </c>
      <c r="BG360" s="864" t="str">
        <f>(BF360-BH360)/10</f>
        <v>#DIV/0!</v>
      </c>
      <c r="BH360" s="863" t="str">
        <f>IF(AR362-BE360&gt;0,(AR362-BE360)*100,"00")</f>
        <v>#DIV/0!</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1782" t="s">
        <v>684</v>
      </c>
      <c r="B361" s="1781"/>
      <c r="C361" s="1781"/>
      <c r="D361" s="1781"/>
      <c r="E361" s="1781"/>
      <c r="F361" s="1781"/>
      <c r="G361" s="1781"/>
      <c r="H361" s="1781"/>
      <c r="I361" s="1781"/>
      <c r="J361" s="1781"/>
      <c r="K361" s="1781"/>
      <c r="L361" s="1781"/>
      <c r="M361" s="1781"/>
      <c r="N361" s="1781"/>
      <c r="O361" s="1781"/>
      <c r="P361" s="1781"/>
      <c r="Q361" s="1781"/>
      <c r="R361" s="1781"/>
      <c r="T361" s="1781"/>
      <c r="U361" s="1781"/>
      <c r="V361" s="1781"/>
      <c r="W361" s="1781"/>
      <c r="X361" s="1781"/>
      <c r="Y361" s="1781"/>
      <c r="Z361" s="1781"/>
      <c r="AA361" s="1781"/>
      <c r="AB361" s="1781"/>
      <c r="AC361" s="1781"/>
      <c r="AD361" s="1781"/>
      <c r="AE361" s="1781"/>
      <c r="AF361" s="1781"/>
      <c r="AG361" s="1781"/>
      <c r="AH361" s="1781"/>
      <c r="AI361" s="1781"/>
      <c r="AJ361" s="1781"/>
      <c r="AK361" s="1781"/>
      <c r="AL361" s="1781"/>
      <c r="AM361" s="1781"/>
      <c r="AN361" s="31"/>
      <c r="AO361" s="31"/>
      <c r="AP361" s="31"/>
      <c r="AQ361" s="31"/>
      <c r="AR361" s="56"/>
      <c r="AS361" s="56"/>
      <c r="AT361" s="866" t="str">
        <f>AT360/10000000</f>
        <v>#DIV/0!</v>
      </c>
      <c r="AU361" s="866"/>
      <c r="AV361" s="1377" t="str">
        <f>ROUND((AV360-AT360)/1000000,1)</f>
        <v>#DIV/0!</v>
      </c>
      <c r="AW361" s="1378" t="str">
        <f>ROUND((AW360-AV360)/100000,1)</f>
        <v>#DIV/0!</v>
      </c>
      <c r="AX361" s="1379"/>
      <c r="AY361" s="1378" t="str">
        <f>ROUND((AY360-AW360)/10000, 1)</f>
        <v>#DIV/0!</v>
      </c>
      <c r="AZ361" s="1378" t="str">
        <f>ROUND((AZ360-AY360)/1000,1)</f>
        <v>#DIV/0!</v>
      </c>
      <c r="BA361" s="1380"/>
      <c r="BB361" s="1378" t="str">
        <f>ROUND((BB360-AZ360)/100,1)</f>
        <v>#DIV/0!</v>
      </c>
      <c r="BC361" s="1378" t="str">
        <f>ROUND((BC360-BB360)/10,1)</f>
        <v>#DIV/0!</v>
      </c>
      <c r="BD361" s="866"/>
      <c r="BE361" s="863" t="str">
        <f>+BE360-BC360</f>
        <v>#DIV/0!</v>
      </c>
      <c r="BF361" s="863" t="str">
        <f>IF(AR362-BE360=0,"00",ROUND(BF360,0))</f>
        <v>#DIV/0!</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1781" t="s">
        <v>685</v>
      </c>
      <c r="AM362" s="1781"/>
      <c r="AN362" s="31"/>
      <c r="AO362" s="31"/>
      <c r="AP362" s="31"/>
      <c r="AQ362" s="31"/>
      <c r="AR362" s="1783" t="str">
        <f>'OPI Terreno'!AI154</f>
        <v>#DIV/0!</v>
      </c>
      <c r="AS362" s="1783"/>
      <c r="AT362" s="56"/>
      <c r="AU362" s="56"/>
      <c r="AV362" s="1784"/>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1781"/>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1781"/>
      <c r="AN364" s="31"/>
      <c r="AO364" s="31"/>
      <c r="AP364" s="31"/>
      <c r="AQ364" s="31"/>
      <c r="AR364" s="1785" t="str">
        <f>BC381</f>
        <v>#DIV/0!</v>
      </c>
      <c r="AS364" s="1785"/>
      <c r="AT364" s="1786"/>
      <c r="AU364" s="1786"/>
      <c r="AV364" s="1786"/>
      <c r="AW364" s="1786"/>
      <c r="AX364" s="1786"/>
      <c r="AY364" s="1786"/>
      <c r="AZ364" s="1786"/>
      <c r="BA364" s="1786"/>
      <c r="BB364" s="1786"/>
      <c r="BC364" s="1786"/>
      <c r="BD364" s="1786"/>
      <c r="BE364" s="1786"/>
      <c r="BF364" s="1786"/>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1781"/>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1781"/>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1781"/>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1781"/>
      <c r="AN368" s="31"/>
      <c r="AO368" s="31"/>
      <c r="AP368" s="31"/>
      <c r="AQ368" s="31"/>
      <c r="AR368" s="884"/>
      <c r="AS368" s="884"/>
      <c r="AT368" s="1787" t="s">
        <v>305</v>
      </c>
      <c r="AU368" s="1788"/>
      <c r="AV368" s="1788" t="s">
        <v>306</v>
      </c>
      <c r="AW368" s="1788" t="s">
        <v>306</v>
      </c>
      <c r="AX368" s="1788"/>
      <c r="AY368" s="1788" t="s">
        <v>307</v>
      </c>
      <c r="AZ368" s="1789"/>
      <c r="BA368" s="884"/>
      <c r="BB368" s="877" t="s">
        <v>308</v>
      </c>
      <c r="BC368" s="877" t="s">
        <v>309</v>
      </c>
      <c r="BD368" s="877"/>
      <c r="BE368" s="877" t="s">
        <v>310</v>
      </c>
      <c r="BF368" s="877" t="s">
        <v>311</v>
      </c>
      <c r="BG368" s="877"/>
      <c r="BH368" s="877" t="s">
        <v>312</v>
      </c>
      <c r="BI368" s="877"/>
      <c r="BJ368" s="877"/>
      <c r="BK368" s="877" t="s">
        <v>313</v>
      </c>
      <c r="BL368" s="877"/>
      <c r="BM368" s="877"/>
      <c r="BN368" s="877"/>
      <c r="BO368" s="877" t="s">
        <v>314</v>
      </c>
      <c r="BP368" s="877"/>
      <c r="BQ368" s="877"/>
      <c r="BR368" s="877" t="s">
        <v>315</v>
      </c>
      <c r="BS368" s="877"/>
      <c r="BT368" s="31"/>
      <c r="BU368" s="31"/>
      <c r="BV368" s="31"/>
      <c r="BW368" s="31"/>
      <c r="BX368" s="31"/>
      <c r="BY368" s="34"/>
      <c r="BZ368" s="34"/>
    </row>
    <row r="369" ht="12.75" customHeight="1">
      <c r="AM369" s="1781"/>
      <c r="AN369" s="31"/>
      <c r="AO369" s="31"/>
      <c r="AP369" s="31"/>
      <c r="AQ369" s="31"/>
      <c r="AR369" s="1790">
        <v>1.0</v>
      </c>
      <c r="AS369" s="1791"/>
      <c r="AT369" s="1792" t="s">
        <v>316</v>
      </c>
      <c r="AU369" s="1792"/>
      <c r="AV369" s="1792" t="s">
        <v>317</v>
      </c>
      <c r="AW369" s="1792" t="s">
        <v>318</v>
      </c>
      <c r="AX369" s="1792"/>
      <c r="AY369" s="1792" t="s">
        <v>319</v>
      </c>
      <c r="AZ369" s="1793" t="s">
        <v>686</v>
      </c>
      <c r="BA369" s="884"/>
      <c r="BB369" s="884" t="str">
        <f>IF(AND(AR369=AT361,AV361=1),AW369,IF(AND(AV361=0,AT361=1),AV369,""))</f>
        <v>#DIV/0!</v>
      </c>
      <c r="BC369" s="884" t="str">
        <f>IF(AND(AR369=AV361,AT361=0),AZ369,IF(AT361=1,"",IF(AR369=AV361,AT369,"")))</f>
        <v>#DIV/0!</v>
      </c>
      <c r="BD369" s="884"/>
      <c r="BE369" s="884" t="str">
        <f>IF(AND(AR369=AW361,AY361&gt;=0,AZ361&gt;=0),AY369,IF(AND(AR369=AW361,AY361=0,AZ361=0),AV380,""))</f>
        <v>#DIV/0!</v>
      </c>
      <c r="BF369" s="884" t="str">
        <f>IF(AND(AR369=AY361,AZ361=1),AW369,IF(AND(AZ361=0,AY361=1),AV369,""))</f>
        <v>#DIV/0!</v>
      </c>
      <c r="BG369" s="884"/>
      <c r="BH369" s="884" t="str">
        <f>IF(AY361=1,"",IF(AR369=AZ361,AT369,""))</f>
        <v>#DIV/0!</v>
      </c>
      <c r="BI369" s="884"/>
      <c r="BJ369" s="884"/>
      <c r="BK369" s="884" t="str">
        <f>IF(AND(AR369=BB361,BC361&gt;=0,BE361&gt;=0),AY369,IF(AND(AR369=BB361,BC361=0,BE361=0),AV380,""))</f>
        <v>#DIV/0!</v>
      </c>
      <c r="BL369" s="884"/>
      <c r="BM369" s="884"/>
      <c r="BN369" s="884"/>
      <c r="BO369" s="884" t="str">
        <f>IF(AND(AR369=BC361,BE361=1),AW369,IF(AND(BE361=0,BC361=1),AV369,""))</f>
        <v>#DIV/0!</v>
      </c>
      <c r="BP369" s="884"/>
      <c r="BQ369" s="884"/>
      <c r="BR369" s="884" t="str">
        <f>IF(BC361=1,"",IF(AR369=BE361,AT369,""))</f>
        <v>#DIV/0!</v>
      </c>
      <c r="BS369" s="884"/>
      <c r="BT369" s="31"/>
      <c r="BU369" s="31"/>
      <c r="BV369" s="31"/>
      <c r="BW369" s="31"/>
      <c r="BX369" s="31"/>
      <c r="BY369" s="34"/>
      <c r="BZ369" s="34"/>
    </row>
    <row r="370" ht="12.75" customHeight="1">
      <c r="AM370" s="1781"/>
      <c r="AN370" s="31"/>
      <c r="AO370" s="31"/>
      <c r="AP370" s="31"/>
      <c r="AQ370" s="31"/>
      <c r="AR370" s="1794">
        <v>2.0</v>
      </c>
      <c r="AS370" s="1795"/>
      <c r="AT370" s="1796" t="s">
        <v>321</v>
      </c>
      <c r="AU370" s="1796"/>
      <c r="AV370" s="1796" t="s">
        <v>322</v>
      </c>
      <c r="AW370" s="1796" t="s">
        <v>323</v>
      </c>
      <c r="AX370" s="1796"/>
      <c r="AY370" s="1796" t="s">
        <v>324</v>
      </c>
      <c r="AZ370" s="1797" t="s">
        <v>325</v>
      </c>
      <c r="BA370" s="884"/>
      <c r="BB370" s="884" t="str">
        <f>IF(AND(AR370=AT361,AV361&gt;0),AV370,IF(AND(AT361=2,AV361=0),"VEINTE",IF(AND(AT361=1,AV361=2),AW370,"")))</f>
        <v>#DIV/0!</v>
      </c>
      <c r="BC370" s="884" t="str">
        <f>IF(AND(AV361&lt;6,AT361=1),"",IF(AR370=AV361,AZ370,""))</f>
        <v>#DIV/0!</v>
      </c>
      <c r="BD370" s="884"/>
      <c r="BE370" s="884" t="str">
        <f>IF(AR370=AW361,AY370,"")</f>
        <v>#DIV/0!</v>
      </c>
      <c r="BF370" s="884" t="str">
        <f>IF(AND(AR370=AY361,AZ361&gt;0),AV370,IF(AND(AY361=2,AZ361=0),"VEINTE",IF(AND(AY361=1,AZ361=2),AW370,"")))</f>
        <v>#DIV/0!</v>
      </c>
      <c r="BG370" s="884"/>
      <c r="BH370" s="884" t="str">
        <f>IF(AY361=1,"",IF(AR370=AZ361,AT370,""))</f>
        <v>#DIV/0!</v>
      </c>
      <c r="BI370" s="884"/>
      <c r="BJ370" s="884"/>
      <c r="BK370" s="884" t="str">
        <f>IF(AR370=BB361,AY370,"")</f>
        <v>#DIV/0!</v>
      </c>
      <c r="BL370" s="884"/>
      <c r="BM370" s="884"/>
      <c r="BN370" s="884"/>
      <c r="BO370" s="884" t="str">
        <f>IF(AND(AR370=BC361,BE361&gt;0),AV370,IF(AND(BC361=2,BE361=0),"VEINTE",IF(AND(BC361=1,BE361=2),AW370,"")))</f>
        <v>#DIV/0!</v>
      </c>
      <c r="BP370" s="884"/>
      <c r="BQ370" s="884"/>
      <c r="BR370" s="884" t="str">
        <f>IF(BC361=1,"",IF(AR370=BE361,AT370,""))</f>
        <v>#DIV/0!</v>
      </c>
      <c r="BS370" s="884"/>
      <c r="BT370" s="31"/>
      <c r="BU370" s="31"/>
      <c r="BV370" s="31"/>
      <c r="BW370" s="31"/>
      <c r="BX370" s="31"/>
      <c r="BY370" s="34"/>
      <c r="BZ370" s="34"/>
    </row>
    <row r="371" ht="12.75" customHeight="1">
      <c r="AM371" s="1781"/>
      <c r="AN371" s="31"/>
      <c r="AO371" s="31"/>
      <c r="AP371" s="31"/>
      <c r="AQ371" s="31"/>
      <c r="AR371" s="1794">
        <v>3.0</v>
      </c>
      <c r="AS371" s="1795"/>
      <c r="AT371" s="1796" t="s">
        <v>326</v>
      </c>
      <c r="AU371" s="1796"/>
      <c r="AV371" s="1796" t="s">
        <v>327</v>
      </c>
      <c r="AW371" s="1796" t="s">
        <v>328</v>
      </c>
      <c r="AX371" s="1796"/>
      <c r="AY371" s="1796" t="s">
        <v>329</v>
      </c>
      <c r="AZ371" s="1797" t="s">
        <v>330</v>
      </c>
      <c r="BA371" s="884"/>
      <c r="BB371" s="884" t="str">
        <f>IF(AR371=AT361,AV371,IF(AND(AV361=3,AT361=1),AW371,""))</f>
        <v>#DIV/0!</v>
      </c>
      <c r="BC371" s="884" t="str">
        <f>IF(AND(AV361&lt;6,AT361=1),"",IF(AR371=AV361,AZ371,""))</f>
        <v>#DIV/0!</v>
      </c>
      <c r="BD371" s="884"/>
      <c r="BE371" s="884" t="str">
        <f>IF(AR371=AW361,AY371,"")</f>
        <v>#DIV/0!</v>
      </c>
      <c r="BF371" s="884" t="str">
        <f>IF(AR371=AY361,AV371,IF(AND(AZ361=3,AY361=1),AW371,""))</f>
        <v>#DIV/0!</v>
      </c>
      <c r="BG371" s="884"/>
      <c r="BH371" s="884" t="str">
        <f>IF(AY361=1,"",IF(AR371=AZ361,AT371,""))</f>
        <v>#DIV/0!</v>
      </c>
      <c r="BI371" s="884"/>
      <c r="BJ371" s="884"/>
      <c r="BK371" s="884" t="str">
        <f>IF(AR371=BB361,AY371,"")</f>
        <v>#DIV/0!</v>
      </c>
      <c r="BL371" s="884"/>
      <c r="BM371" s="884"/>
      <c r="BN371" s="884"/>
      <c r="BO371" s="884" t="str">
        <f>IF(AR371=BC361,AV371,IF(AND(BE361=3,BC361=1),AW371,""))</f>
        <v>#DIV/0!</v>
      </c>
      <c r="BP371" s="884"/>
      <c r="BQ371" s="884"/>
      <c r="BR371" s="884" t="str">
        <f>IF(BC361=1,"",IF(AR371=BE361,AT371,""))</f>
        <v>#DIV/0!</v>
      </c>
      <c r="BS371" s="884"/>
      <c r="BT371" s="31"/>
      <c r="BU371" s="31"/>
      <c r="BV371" s="31"/>
      <c r="BW371" s="31"/>
      <c r="BX371" s="31"/>
      <c r="BY371" s="34"/>
      <c r="BZ371" s="34"/>
    </row>
    <row r="372" ht="12.75" customHeight="1">
      <c r="AM372" s="1781"/>
      <c r="AN372" s="31"/>
      <c r="AO372" s="31"/>
      <c r="AP372" s="31"/>
      <c r="AQ372" s="31"/>
      <c r="AR372" s="1794">
        <v>4.0</v>
      </c>
      <c r="AS372" s="1795"/>
      <c r="AT372" s="1796" t="s">
        <v>331</v>
      </c>
      <c r="AU372" s="1796"/>
      <c r="AV372" s="1796" t="s">
        <v>332</v>
      </c>
      <c r="AW372" s="1796" t="s">
        <v>333</v>
      </c>
      <c r="AX372" s="1796"/>
      <c r="AY372" s="1796" t="s">
        <v>334</v>
      </c>
      <c r="AZ372" s="1797" t="s">
        <v>335</v>
      </c>
      <c r="BA372" s="884"/>
      <c r="BB372" s="884" t="str">
        <f>IF(AR372=AT361,AV372,IF(AND(AV361=4,AT361=1),AW372,""))</f>
        <v>#DIV/0!</v>
      </c>
      <c r="BC372" s="884" t="str">
        <f>IF(AND(AV361&lt;6,AT361=1),"",IF(AR372=AV361,AZ372,""))</f>
        <v>#DIV/0!</v>
      </c>
      <c r="BD372" s="884"/>
      <c r="BE372" s="884" t="str">
        <f>IF(AR372=AW361,AY372,"")</f>
        <v>#DIV/0!</v>
      </c>
      <c r="BF372" s="884" t="str">
        <f>IF(AR372=AY361,AV372,IF(AND(AZ361=4,AY361=1),AW372,""))</f>
        <v>#DIV/0!</v>
      </c>
      <c r="BG372" s="884"/>
      <c r="BH372" s="884" t="str">
        <f>IF(AY361=1,"",IF(AR372=AZ361,AT372,""))</f>
        <v>#DIV/0!</v>
      </c>
      <c r="BI372" s="884"/>
      <c r="BJ372" s="884"/>
      <c r="BK372" s="884" t="str">
        <f>IF(AR372=BB361,AY372,"")</f>
        <v>#DIV/0!</v>
      </c>
      <c r="BL372" s="884"/>
      <c r="BM372" s="884"/>
      <c r="BN372" s="884"/>
      <c r="BO372" s="884" t="str">
        <f>IF(AR372=BC361,AV372,IF(AND(BE361=4,BC361=1),AW372,""))</f>
        <v>#DIV/0!</v>
      </c>
      <c r="BP372" s="884"/>
      <c r="BQ372" s="884"/>
      <c r="BR372" s="884" t="str">
        <f>IF(BC361=1,"",IF(AR372=BE361,AT372,""))</f>
        <v>#DIV/0!</v>
      </c>
      <c r="BS372" s="884"/>
      <c r="BT372" s="31"/>
      <c r="BU372" s="31"/>
      <c r="BV372" s="31"/>
      <c r="BW372" s="31"/>
      <c r="BX372" s="31"/>
      <c r="BY372" s="34"/>
      <c r="BZ372" s="34"/>
    </row>
    <row r="373" ht="12.75" customHeight="1">
      <c r="AM373" s="1781"/>
      <c r="AN373" s="31"/>
      <c r="AO373" s="31"/>
      <c r="AP373" s="31"/>
      <c r="AQ373" s="31"/>
      <c r="AR373" s="1794">
        <v>5.0</v>
      </c>
      <c r="AS373" s="1795"/>
      <c r="AT373" s="1796" t="s">
        <v>336</v>
      </c>
      <c r="AU373" s="1796"/>
      <c r="AV373" s="1796" t="s">
        <v>337</v>
      </c>
      <c r="AW373" s="1796" t="s">
        <v>338</v>
      </c>
      <c r="AX373" s="1796"/>
      <c r="AY373" s="1796" t="s">
        <v>339</v>
      </c>
      <c r="AZ373" s="1797" t="s">
        <v>340</v>
      </c>
      <c r="BA373" s="884"/>
      <c r="BB373" s="884" t="str">
        <f>IF(AR373=AT361,AV373,IF(AND(AV361=5,AT361=1),AW373,""))</f>
        <v>#DIV/0!</v>
      </c>
      <c r="BC373" s="884" t="str">
        <f>IF(AND(AV361&lt;6,AT361=1),"",IF(AR373=AV361,AZ373,""))</f>
        <v>#DIV/0!</v>
      </c>
      <c r="BD373" s="884"/>
      <c r="BE373" s="884" t="str">
        <f>IF(AR373=AW361,AY373,"")</f>
        <v>#DIV/0!</v>
      </c>
      <c r="BF373" s="884" t="str">
        <f>IF(AR373=AY361,AV373,IF(AND(AZ361=5,AY361=1),AW373,""))</f>
        <v>#DIV/0!</v>
      </c>
      <c r="BG373" s="884"/>
      <c r="BH373" s="884" t="str">
        <f>IF(AY361=1,"",IF(AR373=AZ361,AT373,""))</f>
        <v>#DIV/0!</v>
      </c>
      <c r="BI373" s="884"/>
      <c r="BJ373" s="884"/>
      <c r="BK373" s="884" t="str">
        <f>IF(AR373=BB361,AY373,"")</f>
        <v>#DIV/0!</v>
      </c>
      <c r="BL373" s="884"/>
      <c r="BM373" s="884"/>
      <c r="BN373" s="884"/>
      <c r="BO373" s="884" t="str">
        <f>IF(AR373=BC361,AV373,IF(AND(BE361=5,BC361=1),AW373,""))</f>
        <v>#DIV/0!</v>
      </c>
      <c r="BP373" s="884"/>
      <c r="BQ373" s="884"/>
      <c r="BR373" s="884" t="str">
        <f>IF(BC361=1,"",IF(AR373=BE361,AT373,""))</f>
        <v>#DIV/0!</v>
      </c>
      <c r="BS373" s="884"/>
      <c r="BT373" s="31"/>
      <c r="BU373" s="31"/>
      <c r="BV373" s="31"/>
      <c r="BW373" s="31"/>
      <c r="BX373" s="31"/>
      <c r="BY373" s="34"/>
      <c r="BZ373" s="34"/>
    </row>
    <row r="374" ht="12.75" customHeight="1">
      <c r="AM374" s="1781"/>
      <c r="AN374" s="31"/>
      <c r="AO374" s="31"/>
      <c r="AP374" s="31"/>
      <c r="AQ374" s="31"/>
      <c r="AR374" s="1794">
        <v>6.0</v>
      </c>
      <c r="AS374" s="1795"/>
      <c r="AT374" s="1796" t="s">
        <v>341</v>
      </c>
      <c r="AU374" s="1796"/>
      <c r="AV374" s="1796" t="s">
        <v>342</v>
      </c>
      <c r="AW374" s="1796" t="s">
        <v>343</v>
      </c>
      <c r="AX374" s="1796"/>
      <c r="AY374" s="1796" t="s">
        <v>344</v>
      </c>
      <c r="AZ374" s="1797" t="s">
        <v>345</v>
      </c>
      <c r="BA374" s="884"/>
      <c r="BB374" s="884" t="str">
        <f>IF(AR374=AT361,AV374,IF(AND(AV361&gt;5,AT361=1),AW374,""))</f>
        <v>#DIV/0!</v>
      </c>
      <c r="BC374" s="884" t="str">
        <f>IF(AR374=AV361,AZ374,"")</f>
        <v>#DIV/0!</v>
      </c>
      <c r="BD374" s="884"/>
      <c r="BE374" s="884" t="str">
        <f>IF(AR374=AW361,AY374,"")</f>
        <v>#DIV/0!</v>
      </c>
      <c r="BF374" s="884" t="str">
        <f>IF(AR374=AY361,AV374,IF(AND(AZ361&gt;5,AY361=1),AW374,""))</f>
        <v>#DIV/0!</v>
      </c>
      <c r="BG374" s="884"/>
      <c r="BH374" s="884" t="str">
        <f>IF(AR374=AZ361,AT374,"")</f>
        <v>#DIV/0!</v>
      </c>
      <c r="BI374" s="884"/>
      <c r="BJ374" s="884"/>
      <c r="BK374" s="884" t="str">
        <f>IF(AR374=BB361,AY374,"")</f>
        <v>#DIV/0!</v>
      </c>
      <c r="BL374" s="884"/>
      <c r="BM374" s="884"/>
      <c r="BN374" s="884"/>
      <c r="BO374" s="884" t="str">
        <f>IF(AR374=BC361,AV374,IF(AND(BE361&gt;5,BC361=1),AW374,""))</f>
        <v>#DIV/0!</v>
      </c>
      <c r="BP374" s="884"/>
      <c r="BQ374" s="884"/>
      <c r="BR374" s="884" t="str">
        <f>IF(AR374=BE361,AT374,"")</f>
        <v>#DIV/0!</v>
      </c>
      <c r="BS374" s="884"/>
      <c r="BT374" s="31"/>
      <c r="BU374" s="31"/>
      <c r="BV374" s="31"/>
      <c r="BW374" s="31"/>
      <c r="BX374" s="31"/>
      <c r="BY374" s="34"/>
      <c r="BZ374" s="34"/>
    </row>
    <row r="375" ht="12.75" customHeight="1">
      <c r="AM375" s="1781"/>
      <c r="AN375" s="31"/>
      <c r="AO375" s="31"/>
      <c r="AP375" s="31"/>
      <c r="AQ375" s="31"/>
      <c r="AR375" s="1794">
        <v>7.0</v>
      </c>
      <c r="AS375" s="1795"/>
      <c r="AT375" s="1796" t="s">
        <v>346</v>
      </c>
      <c r="AU375" s="1796"/>
      <c r="AV375" s="1796" t="s">
        <v>347</v>
      </c>
      <c r="AW375" s="1796" t="s">
        <v>343</v>
      </c>
      <c r="AX375" s="1796"/>
      <c r="AY375" s="1796" t="s">
        <v>348</v>
      </c>
      <c r="AZ375" s="1797" t="s">
        <v>349</v>
      </c>
      <c r="BA375" s="884"/>
      <c r="BB375" s="884" t="str">
        <f>IF(AR375=AT361,AV375,"")</f>
        <v>#DIV/0!</v>
      </c>
      <c r="BC375" s="884" t="str">
        <f>IF(AR375=AV361,AZ375,"")</f>
        <v>#DIV/0!</v>
      </c>
      <c r="BD375" s="884"/>
      <c r="BE375" s="884" t="str">
        <f>IF(AR375=AW361,AY375,"")</f>
        <v>#DIV/0!</v>
      </c>
      <c r="BF375" s="884" t="str">
        <f>IF(AR375=AY361,AV375,"")</f>
        <v>#DIV/0!</v>
      </c>
      <c r="BG375" s="884"/>
      <c r="BH375" s="884" t="str">
        <f>IF(AR375=AZ361,AT375,"")</f>
        <v>#DIV/0!</v>
      </c>
      <c r="BI375" s="884"/>
      <c r="BJ375" s="884"/>
      <c r="BK375" s="884" t="str">
        <f>IF(AR375=BB361,AY375,"")</f>
        <v>#DIV/0!</v>
      </c>
      <c r="BL375" s="884"/>
      <c r="BM375" s="884"/>
      <c r="BN375" s="884"/>
      <c r="BO375" s="884" t="str">
        <f>IF(AR375=BC361,AV375,"")</f>
        <v>#DIV/0!</v>
      </c>
      <c r="BP375" s="884"/>
      <c r="BQ375" s="884"/>
      <c r="BR375" s="884" t="str">
        <f>IF(AR375=BE361,AT375,"")</f>
        <v>#DIV/0!</v>
      </c>
      <c r="BS375" s="884"/>
      <c r="BT375" s="31"/>
      <c r="BU375" s="31"/>
      <c r="BV375" s="31"/>
      <c r="BW375" s="31"/>
      <c r="BX375" s="31"/>
      <c r="BY375" s="34"/>
      <c r="BZ375" s="34"/>
    </row>
    <row r="376" ht="12.75" customHeight="1">
      <c r="AM376" s="1781"/>
      <c r="AN376" s="31"/>
      <c r="AO376" s="31"/>
      <c r="AP376" s="31"/>
      <c r="AQ376" s="31"/>
      <c r="AR376" s="1794">
        <v>8.0</v>
      </c>
      <c r="AS376" s="1795"/>
      <c r="AT376" s="1796" t="s">
        <v>350</v>
      </c>
      <c r="AU376" s="1796"/>
      <c r="AV376" s="1796" t="s">
        <v>351</v>
      </c>
      <c r="AW376" s="1796" t="s">
        <v>343</v>
      </c>
      <c r="AX376" s="1796"/>
      <c r="AY376" s="1796" t="s">
        <v>352</v>
      </c>
      <c r="AZ376" s="1797" t="s">
        <v>353</v>
      </c>
      <c r="BA376" s="884"/>
      <c r="BB376" s="884" t="str">
        <f>IF(AR376=AT361,AV376,"")</f>
        <v>#DIV/0!</v>
      </c>
      <c r="BC376" s="884" t="str">
        <f>IF(AR376=AV361,AZ376,"")</f>
        <v>#DIV/0!</v>
      </c>
      <c r="BD376" s="884"/>
      <c r="BE376" s="884" t="str">
        <f>IF(AR376=AW361,AY376,"")</f>
        <v>#DIV/0!</v>
      </c>
      <c r="BF376" s="884" t="str">
        <f>IF(AR376=AY361,AV376,"")</f>
        <v>#DIV/0!</v>
      </c>
      <c r="BG376" s="884"/>
      <c r="BH376" s="884" t="str">
        <f>IF(AR376=AZ361,AT376,"")</f>
        <v>#DIV/0!</v>
      </c>
      <c r="BI376" s="884"/>
      <c r="BJ376" s="884"/>
      <c r="BK376" s="884" t="str">
        <f>IF(AR376=BB361,AY376,"")</f>
        <v>#DIV/0!</v>
      </c>
      <c r="BL376" s="884"/>
      <c r="BM376" s="884"/>
      <c r="BN376" s="884"/>
      <c r="BO376" s="884" t="str">
        <f>IF(AR376=BC361,AV376,"")</f>
        <v>#DIV/0!</v>
      </c>
      <c r="BP376" s="884"/>
      <c r="BQ376" s="884"/>
      <c r="BR376" s="884" t="str">
        <f>IF(AR376=BE361,AT376,"")</f>
        <v>#DIV/0!</v>
      </c>
      <c r="BS376" s="884"/>
      <c r="BT376" s="31"/>
      <c r="BU376" s="31"/>
      <c r="BV376" s="31"/>
      <c r="BW376" s="31"/>
      <c r="BX376" s="31"/>
      <c r="BY376" s="34"/>
      <c r="BZ376" s="34"/>
    </row>
    <row r="377" ht="12.75" customHeight="1">
      <c r="AM377" s="1781"/>
      <c r="AN377" s="31"/>
      <c r="AO377" s="31"/>
      <c r="AP377" s="31"/>
      <c r="AQ377" s="31"/>
      <c r="AR377" s="1794">
        <v>9.0</v>
      </c>
      <c r="AS377" s="1795"/>
      <c r="AT377" s="1796" t="s">
        <v>354</v>
      </c>
      <c r="AU377" s="1796"/>
      <c r="AV377" s="1796" t="s">
        <v>355</v>
      </c>
      <c r="AW377" s="1796" t="s">
        <v>343</v>
      </c>
      <c r="AX377" s="1796"/>
      <c r="AY377" s="1796" t="s">
        <v>356</v>
      </c>
      <c r="AZ377" s="1797" t="s">
        <v>357</v>
      </c>
      <c r="BA377" s="884"/>
      <c r="BB377" s="884" t="str">
        <f>IF(AR377=AT361,AV377,"")</f>
        <v>#DIV/0!</v>
      </c>
      <c r="BC377" s="884" t="str">
        <f>IF(AR377=AV361,AZ377,"")</f>
        <v>#DIV/0!</v>
      </c>
      <c r="BD377" s="884"/>
      <c r="BE377" s="884" t="str">
        <f>IF(AR377=AW361,AY377,"")</f>
        <v>#DIV/0!</v>
      </c>
      <c r="BF377" s="884" t="str">
        <f>IF(AR377=AY361,AV377,"")</f>
        <v>#DIV/0!</v>
      </c>
      <c r="BG377" s="884"/>
      <c r="BH377" s="884" t="str">
        <f>IF(AR377=AZ361,AT377,"")</f>
        <v>#DIV/0!</v>
      </c>
      <c r="BI377" s="884"/>
      <c r="BJ377" s="884"/>
      <c r="BK377" s="884" t="str">
        <f>IF(AR377=BB361,AY377,"")</f>
        <v>#DIV/0!</v>
      </c>
      <c r="BL377" s="884"/>
      <c r="BM377" s="884"/>
      <c r="BN377" s="884"/>
      <c r="BO377" s="884" t="str">
        <f>IF(AR377=BC361,AV377,"")</f>
        <v>#DIV/0!</v>
      </c>
      <c r="BP377" s="884"/>
      <c r="BQ377" s="884"/>
      <c r="BR377" s="884" t="str">
        <f>IF(AR377=BE361,AT377,"")</f>
        <v>#DIV/0!</v>
      </c>
      <c r="BS377" s="884"/>
      <c r="BT377" s="31"/>
      <c r="BU377" s="31"/>
      <c r="BV377" s="31"/>
      <c r="BW377" s="31"/>
      <c r="BX377" s="31"/>
      <c r="BY377" s="34"/>
      <c r="BZ377" s="34"/>
    </row>
    <row r="378" ht="12.75" customHeight="1">
      <c r="AM378" s="1781"/>
      <c r="AN378" s="31"/>
      <c r="AO378" s="31"/>
      <c r="AP378" s="31"/>
      <c r="AQ378" s="31"/>
      <c r="AR378" s="1798">
        <v>0.0</v>
      </c>
      <c r="AS378" s="1799"/>
      <c r="AT378" s="1800" t="s">
        <v>104</v>
      </c>
      <c r="AU378" s="1800"/>
      <c r="AV378" s="1800" t="s">
        <v>104</v>
      </c>
      <c r="AW378" s="1800" t="s">
        <v>343</v>
      </c>
      <c r="AX378" s="1800"/>
      <c r="AY378" s="1800"/>
      <c r="AZ378" s="1801"/>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1781"/>
      <c r="AN379" s="31"/>
      <c r="AO379" s="31"/>
      <c r="AP379" s="31"/>
      <c r="AQ379" s="31"/>
      <c r="AR379" s="56"/>
      <c r="AS379" s="56"/>
      <c r="AT379" s="56"/>
      <c r="AU379" s="56"/>
      <c r="AV379" s="56"/>
      <c r="AW379" s="56"/>
      <c r="AX379" s="56"/>
      <c r="AY379" s="56"/>
      <c r="AZ379" s="56"/>
      <c r="BA379" s="56"/>
      <c r="BB379" s="884" t="str">
        <f t="shared" ref="BB379:BC379" si="43">CONCATENATE(BB369,BB370,BB371,BB372,BB373,BB374,BB375,BB376,BB377)</f>
        <v>#DIV/0!</v>
      </c>
      <c r="BC379" s="884" t="str">
        <f t="shared" si="43"/>
        <v>#DIV/0!</v>
      </c>
      <c r="BD379" s="884"/>
      <c r="BE379" s="884" t="str">
        <f t="shared" ref="BE379:BF379" si="44">CONCATENATE(BE369,BE370,BE371,BE372,BE373,BE374,BE375,BE376,BE377)</f>
        <v>#DIV/0!</v>
      </c>
      <c r="BF379" s="884" t="str">
        <f t="shared" si="44"/>
        <v>#DIV/0!</v>
      </c>
      <c r="BG379" s="884" t="str">
        <f>IF(AND(AZ361&gt;0,AY361&gt;2),AZ380,"")</f>
        <v>#DIV/0!</v>
      </c>
      <c r="BH379" s="884" t="str">
        <f>CONCATENATE(BH369,BH370,BH371,BH372,BH373,BH374,BH375,BH376,BH377)</f>
        <v>#DIV/0!</v>
      </c>
      <c r="BI379" s="884"/>
      <c r="BJ379" s="884" t="str">
        <f>IF(AZ361&gt;0,AW380,IF(AY361&gt;0,AW380,IF(AW361&gt;0,AW380,"")))</f>
        <v>#DIV/0!</v>
      </c>
      <c r="BK379" s="884" t="str">
        <f>CONCATENATE(BK369,BK370,BK371,BK372,BK373,BK374,BK375,BK376,BK377)</f>
        <v>#DIV/0!</v>
      </c>
      <c r="BL379" s="884"/>
      <c r="BM379" s="884"/>
      <c r="BN379" s="884"/>
      <c r="BO379" s="884" t="str">
        <f>CONCATENATE(BO369,BO370,BO371,BO372,BO373,BO374,BO375,BO376,BO377)</f>
        <v>#DIV/0!</v>
      </c>
      <c r="BP379" s="884" t="str">
        <f>IF(AND(BE361&gt;0,BC361&gt;2),AZ380,"")</f>
        <v>#DIV/0!</v>
      </c>
      <c r="BQ379" s="884"/>
      <c r="BR379" s="884" t="str">
        <f>CONCATENATE(BR369,BR370,BR371,BR372,BR373,BR374,BR375,BR376,BR377)</f>
        <v>#DIV/0!</v>
      </c>
      <c r="BS379" s="884"/>
      <c r="BT379" s="31"/>
      <c r="BU379" s="31"/>
      <c r="BV379" s="31"/>
      <c r="BW379" s="31"/>
      <c r="BX379" s="31"/>
      <c r="BY379" s="34"/>
      <c r="BZ379" s="34"/>
    </row>
    <row r="380" ht="12.75" customHeight="1">
      <c r="AM380" s="1781"/>
      <c r="AN380" s="31"/>
      <c r="AO380" s="31"/>
      <c r="AP380" s="31"/>
      <c r="AQ380" s="31"/>
      <c r="AR380" s="56"/>
      <c r="AS380" s="56"/>
      <c r="AT380" s="1796" t="s">
        <v>358</v>
      </c>
      <c r="AU380" s="1796"/>
      <c r="AV380" s="1796" t="s">
        <v>359</v>
      </c>
      <c r="AW380" s="1796" t="s">
        <v>360</v>
      </c>
      <c r="AX380" s="1796"/>
      <c r="AY380" s="1796" t="s">
        <v>687</v>
      </c>
      <c r="AZ380" s="1796" t="s">
        <v>362</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1781"/>
      <c r="AN381" s="31"/>
      <c r="AO381" s="31"/>
      <c r="AP381" s="31"/>
      <c r="AQ381" s="31"/>
      <c r="AR381" s="56"/>
      <c r="AS381" s="56"/>
      <c r="AT381" s="1796" t="s">
        <v>358</v>
      </c>
      <c r="AU381" s="1796"/>
      <c r="AV381" s="1796" t="s">
        <v>363</v>
      </c>
      <c r="AW381" s="1796" t="str">
        <f>IF(AND(AT361&gt;0,AV361&lt;2),AY381,IF(AND(AT361=1,AV361&lt;6),AY381,""))</f>
        <v>#DIV/0!</v>
      </c>
      <c r="AX381" s="1796"/>
      <c r="AY381" s="1796" t="s">
        <v>364</v>
      </c>
      <c r="AZ381" s="1796" t="str">
        <f>IF(AND(AV361&gt;0,AT361&gt;2),AZ380,"")</f>
        <v>#DIV/0!</v>
      </c>
      <c r="BA381" s="884"/>
      <c r="BB381" s="1802" t="s">
        <v>365</v>
      </c>
      <c r="BC381" s="896" t="str">
        <f>CONCATENATE(BB379,AZ381,BC379,AW381,BE379,BF379,BG379,BH379,BJ379,BK379,BO379,BP379,BR379,IF(AR362&gt;0,CONCATENATE(" PESOS ",BF361,"/100  M.N."),""))</f>
        <v>#DIV/0!</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1803"/>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1803"/>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1803"/>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1803"/>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95</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97</v>
      </c>
      <c r="AD3" s="35"/>
      <c r="AE3" s="36"/>
      <c r="AF3" s="37" t="s">
        <v>96</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98</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7" t="s">
        <v>568</v>
      </c>
      <c r="D7" s="44"/>
      <c r="F7" s="1388"/>
      <c r="G7" s="919" t="str">
        <f>Query_Formato!D169</f>
        <v/>
      </c>
      <c r="M7" s="45"/>
      <c r="N7" s="45"/>
      <c r="O7" s="45"/>
      <c r="P7" s="45"/>
      <c r="Q7" s="45"/>
      <c r="R7" s="45"/>
      <c r="S7" s="45"/>
      <c r="T7" s="45"/>
      <c r="U7" s="45"/>
      <c r="V7" s="45"/>
      <c r="W7" s="45"/>
      <c r="X7" s="45"/>
      <c r="Y7" s="45"/>
      <c r="Z7" s="45"/>
      <c r="AA7" s="50" t="s">
        <v>99</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100</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101</v>
      </c>
      <c r="I11" s="34"/>
      <c r="J11" s="922" t="str">
        <f>Query_Formato!B9</f>
        <v>Pascal 2164 Colonia San Elias Guadalajara Jalisco 44240</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102</v>
      </c>
      <c r="I14" s="60"/>
      <c r="J14" s="1804"/>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103</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7"/>
      <c r="R19" s="928"/>
      <c r="T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7"/>
      <c r="R20" s="928"/>
      <c r="T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7"/>
      <c r="R21" s="928"/>
      <c r="T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7"/>
      <c r="R22" s="928"/>
      <c r="T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7"/>
      <c r="R23" s="928"/>
      <c r="T23" s="927"/>
      <c r="AM23" s="928"/>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7"/>
      <c r="R24" s="928"/>
      <c r="T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7"/>
      <c r="R25" s="928"/>
      <c r="T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7"/>
      <c r="R26" s="928"/>
      <c r="T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7"/>
      <c r="R27" s="928"/>
      <c r="T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7"/>
      <c r="R28" s="928"/>
      <c r="T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7"/>
      <c r="R29" s="928"/>
      <c r="T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7"/>
      <c r="R30" s="928"/>
      <c r="T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7"/>
      <c r="R31" s="928"/>
      <c r="T31" s="927"/>
      <c r="AM31" s="928"/>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7"/>
      <c r="R32" s="928"/>
      <c r="T32" s="927"/>
      <c r="AM32" s="928"/>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7"/>
      <c r="R33" s="928"/>
      <c r="T33" s="927"/>
      <c r="AM33" s="928"/>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7"/>
      <c r="R34" s="928"/>
      <c r="T34" s="927"/>
      <c r="AM34" s="928"/>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7"/>
      <c r="R35" s="928"/>
      <c r="T35" s="927"/>
      <c r="AM35" s="928"/>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7"/>
      <c r="R36" s="928"/>
      <c r="T36" s="927"/>
      <c r="AM36" s="928"/>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104</v>
      </c>
      <c r="D38" s="367"/>
      <c r="E38" s="1392"/>
      <c r="F38" s="1393"/>
      <c r="G38" s="1393"/>
      <c r="H38" s="1393"/>
      <c r="I38" s="1393"/>
      <c r="J38" s="1393"/>
      <c r="K38" s="1393"/>
      <c r="L38" s="1394"/>
      <c r="M38" s="1394"/>
      <c r="N38" s="1394"/>
      <c r="O38" s="1394"/>
      <c r="P38" s="1394"/>
      <c r="Q38" s="1394"/>
      <c r="R38" s="1394"/>
      <c r="S38" s="76"/>
      <c r="T38" s="1394"/>
      <c r="U38" s="1394"/>
      <c r="V38" s="1394"/>
      <c r="W38" s="1394"/>
      <c r="X38" s="1394"/>
      <c r="Y38" s="1394"/>
      <c r="Z38" s="1394"/>
      <c r="AA38" s="1394"/>
      <c r="AB38" s="1394"/>
      <c r="AC38" s="1394"/>
      <c r="AD38" s="1394"/>
      <c r="AE38" s="1394"/>
      <c r="AF38" s="1394"/>
      <c r="AG38" s="1394"/>
      <c r="AH38" s="1394"/>
      <c r="AI38" s="1394"/>
      <c r="AJ38" s="1394"/>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1805"/>
      <c r="F43" s="1806"/>
      <c r="G43" s="1806"/>
      <c r="H43" s="1807"/>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1808"/>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688</v>
      </c>
      <c r="AC65" s="34"/>
      <c r="AD65" s="1809"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689</v>
      </c>
      <c r="AC67" s="34"/>
      <c r="AD67" s="1809"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690</v>
      </c>
      <c r="AC69" s="34"/>
      <c r="AD69" s="1809"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107</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102</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101</v>
      </c>
      <c r="D75" s="90"/>
      <c r="E75" s="90"/>
      <c r="F75" s="91"/>
      <c r="G75" s="92"/>
      <c r="H75" s="90"/>
      <c r="I75" s="34"/>
      <c r="J75" s="34"/>
      <c r="K75" s="105" t="str">
        <f>J11</f>
        <v>Pascal 2164 Colonia San Elias Guadalajara Jalisco 44240</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108</v>
      </c>
      <c r="F77" s="107"/>
      <c r="G77" s="107"/>
      <c r="H77" s="92"/>
      <c r="I77" s="34"/>
      <c r="J77" s="34"/>
      <c r="K77" s="108" t="s">
        <v>691</v>
      </c>
      <c r="L77" s="95"/>
      <c r="M77" s="95"/>
      <c r="N77" s="95"/>
      <c r="O77" s="95"/>
      <c r="P77" s="96"/>
      <c r="Q77" s="34"/>
      <c r="R77" s="101"/>
      <c r="S77" s="109" t="s">
        <v>109</v>
      </c>
      <c r="T77" s="101"/>
      <c r="U77" s="101"/>
      <c r="V77" s="101"/>
      <c r="W77" s="101"/>
      <c r="X77" s="101"/>
      <c r="Y77" s="34"/>
      <c r="Z77" s="34"/>
      <c r="AA77" s="1810" t="s">
        <v>692</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110</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103</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111</v>
      </c>
      <c r="I82" s="97"/>
      <c r="J82" s="97"/>
      <c r="K82" s="105" t="s">
        <v>693</v>
      </c>
      <c r="L82" s="95"/>
      <c r="M82" s="95"/>
      <c r="N82" s="95"/>
      <c r="O82" s="95"/>
      <c r="P82" s="95"/>
      <c r="Q82" s="95"/>
      <c r="R82" s="95"/>
      <c r="S82" s="95"/>
      <c r="T82" s="96"/>
      <c r="U82" s="106"/>
      <c r="V82" s="106"/>
      <c r="W82" s="97"/>
      <c r="X82" s="118" t="s">
        <v>112</v>
      </c>
      <c r="AD82" s="97" t="s">
        <v>694</v>
      </c>
      <c r="AK82" s="1433"/>
      <c r="AL82" s="1433"/>
      <c r="AM82" s="1434"/>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1811" t="s">
        <v>113</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114</v>
      </c>
      <c r="B86" s="128"/>
      <c r="C86" s="90"/>
      <c r="D86" s="90"/>
      <c r="E86" s="90"/>
      <c r="F86" s="92"/>
      <c r="G86" s="92"/>
      <c r="H86" s="90"/>
      <c r="I86" s="34"/>
      <c r="J86" s="34"/>
      <c r="K86" s="1435" t="str">
        <f>+CONCATENATE(AQ97," ",AR97,", ",AQ98," ",AR98,", ",AQ99," ",AR99,", ",AQ100," ",AR100,", ",AQ101," ",AR101,", ",AQ102," ",AR102,", ",AQ103," ",AR103,", ",AQ104," ",AR104,", ",AQ105," ",AR105,".", )</f>
        <v>SERVICIOS BÁSICOS: , AGUA POTABLE: , DRENAJE: , ENERGÍA ELÉCTRICA: , GAS: , ALUMBRADO EXTERIOR: , LÍNEAS TELEFÓNICAS: , VIALIDADES: , TRANSPORTE: .</v>
      </c>
      <c r="L86" s="1436"/>
      <c r="M86" s="1436"/>
      <c r="N86" s="1436"/>
      <c r="O86" s="1436"/>
      <c r="P86" s="1436"/>
      <c r="Q86" s="1436"/>
      <c r="R86" s="1436"/>
      <c r="S86" s="1436"/>
      <c r="T86" s="1436"/>
      <c r="U86" s="1436"/>
      <c r="V86" s="1436"/>
      <c r="W86" s="1436"/>
      <c r="X86" s="1436"/>
      <c r="Y86" s="1436"/>
      <c r="Z86" s="1436"/>
      <c r="AA86" s="1436"/>
      <c r="AB86" s="1436"/>
      <c r="AC86" s="1436"/>
      <c r="AD86" s="1436"/>
      <c r="AE86" s="1436"/>
      <c r="AF86" s="1436"/>
      <c r="AG86" s="1436"/>
      <c r="AH86" s="1436"/>
      <c r="AI86" s="1436"/>
      <c r="AJ86" s="1436"/>
      <c r="AK86" s="1436"/>
      <c r="AL86" s="1436"/>
      <c r="AM86" s="1437"/>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438"/>
      <c r="L87" s="1439"/>
      <c r="M87" s="1439"/>
      <c r="N87" s="1439"/>
      <c r="O87" s="1439"/>
      <c r="P87" s="1439"/>
      <c r="Q87" s="1439"/>
      <c r="R87" s="1439"/>
      <c r="S87" s="1439"/>
      <c r="T87" s="1439"/>
      <c r="U87" s="1439"/>
      <c r="V87" s="1439"/>
      <c r="W87" s="1439"/>
      <c r="X87" s="1439"/>
      <c r="Y87" s="1439"/>
      <c r="Z87" s="1439"/>
      <c r="AA87" s="1439"/>
      <c r="AB87" s="1439"/>
      <c r="AC87" s="1439"/>
      <c r="AD87" s="1439"/>
      <c r="AE87" s="1439"/>
      <c r="AF87" s="1439"/>
      <c r="AG87" s="1439"/>
      <c r="AH87" s="1439"/>
      <c r="AI87" s="1439"/>
      <c r="AJ87" s="1439"/>
      <c r="AK87" s="1439"/>
      <c r="AL87" s="1439"/>
      <c r="AM87" s="1440"/>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115</v>
      </c>
      <c r="B89" s="132"/>
      <c r="C89" s="133"/>
      <c r="D89" s="133"/>
      <c r="E89" s="56"/>
      <c r="F89" s="56"/>
      <c r="G89" s="56"/>
      <c r="H89" s="56"/>
      <c r="I89" s="134"/>
      <c r="J89" s="34"/>
      <c r="K89" s="1812"/>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117</v>
      </c>
      <c r="W91" s="34"/>
      <c r="X91" s="149" t="s">
        <v>118</v>
      </c>
      <c r="Y91" s="148"/>
      <c r="Z91" s="150" t="s">
        <v>119</v>
      </c>
      <c r="AB91" s="151"/>
      <c r="AC91" s="152" t="s">
        <v>120</v>
      </c>
      <c r="AE91" s="148"/>
      <c r="AF91" s="153" t="s">
        <v>121</v>
      </c>
      <c r="AG91" s="148"/>
      <c r="AH91" s="148"/>
      <c r="AI91" s="148"/>
      <c r="AJ91" s="148"/>
      <c r="AK91" s="148"/>
      <c r="AL91" s="148"/>
      <c r="AM91" s="148"/>
      <c r="AN91" s="31"/>
      <c r="AO91" s="31"/>
      <c r="AP91" s="1813"/>
      <c r="AQ91" s="1447">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126</v>
      </c>
      <c r="B92" s="147"/>
      <c r="C92" s="147"/>
      <c r="D92" s="147"/>
      <c r="E92" s="147"/>
      <c r="F92" s="1069"/>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695</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130</v>
      </c>
      <c r="B94" s="122"/>
      <c r="C94" s="122"/>
      <c r="D94" s="122"/>
      <c r="E94" s="176"/>
      <c r="F94" s="177" t="s">
        <v>131</v>
      </c>
      <c r="G94" s="34"/>
      <c r="H94" s="34"/>
      <c r="I94" s="122" t="s">
        <v>132</v>
      </c>
      <c r="J94" s="122"/>
      <c r="K94" s="122"/>
      <c r="L94" s="34"/>
      <c r="M94" s="122" t="s">
        <v>133</v>
      </c>
      <c r="N94" s="122"/>
      <c r="O94" s="122"/>
      <c r="P94" s="122"/>
      <c r="Q94" s="34"/>
      <c r="R94" s="122" t="s">
        <v>134</v>
      </c>
      <c r="S94" s="122"/>
      <c r="T94" s="34"/>
      <c r="U94" s="122"/>
      <c r="V94" s="122" t="s">
        <v>135</v>
      </c>
      <c r="W94" s="34"/>
      <c r="X94" s="178"/>
      <c r="Y94" s="178"/>
      <c r="Z94" s="178"/>
      <c r="AA94" s="178" t="s">
        <v>136</v>
      </c>
      <c r="AB94" s="34"/>
      <c r="AC94" s="178"/>
      <c r="AD94" s="178"/>
      <c r="AE94" s="178"/>
      <c r="AF94" s="178"/>
      <c r="AG94" s="178"/>
      <c r="AH94" s="122" t="s">
        <v>137</v>
      </c>
      <c r="AI94" s="34"/>
      <c r="AJ94" s="178"/>
      <c r="AK94" s="178"/>
      <c r="AL94" s="179" t="s">
        <v>640</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1814" t="str">
        <f>VLOOKUP(A95,'catalogo 2'!C128:F133,4)</f>
        <v>#REF!</v>
      </c>
      <c r="N95" s="185"/>
      <c r="O95" s="185"/>
      <c r="P95" s="183"/>
      <c r="Q95" s="92"/>
      <c r="R95" s="1815"/>
      <c r="S95" s="120"/>
      <c r="T95" s="121"/>
      <c r="U95" s="92"/>
      <c r="V95" s="1816"/>
      <c r="W95" s="120"/>
      <c r="X95" s="121"/>
      <c r="Y95" s="92"/>
      <c r="Z95" s="1817"/>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58" t="s">
        <v>641</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58"/>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59" t="s">
        <v>139</v>
      </c>
      <c r="B97" s="198"/>
      <c r="C97" s="34"/>
      <c r="D97" s="197"/>
      <c r="E97" s="101"/>
      <c r="F97" s="56"/>
      <c r="G97" s="101"/>
      <c r="H97" s="34"/>
      <c r="I97" s="181"/>
      <c r="U97" s="34"/>
      <c r="V97" s="34"/>
      <c r="W97" s="34"/>
      <c r="X97" s="1461" t="str">
        <f>#REF!</f>
        <v>#REF!</v>
      </c>
      <c r="AM97" s="202"/>
      <c r="AN97" s="317"/>
      <c r="AO97" s="1818"/>
      <c r="AP97" s="1819"/>
      <c r="AQ97" s="1820" t="s">
        <v>140</v>
      </c>
      <c r="AR97" s="1821"/>
      <c r="AS97" s="1822"/>
      <c r="AT97" s="1823"/>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1824"/>
      <c r="AP98" s="31"/>
      <c r="AQ98" s="1825" t="s">
        <v>141</v>
      </c>
      <c r="AR98" s="1826"/>
      <c r="AT98" s="1474"/>
      <c r="AU98" s="31"/>
      <c r="AV98" s="31"/>
      <c r="AW98" s="31"/>
      <c r="AX98" s="31"/>
      <c r="AY98" s="31"/>
      <c r="AZ98" s="31"/>
      <c r="BA98" s="31"/>
      <c r="BB98" s="31"/>
      <c r="BC98" s="31"/>
      <c r="BD98" s="31"/>
      <c r="BE98" s="31"/>
      <c r="BF98" s="31"/>
      <c r="BG98" s="31"/>
      <c r="BH98" s="31"/>
      <c r="BI98" s="31"/>
      <c r="BJ98" s="31"/>
      <c r="BK98" s="34"/>
      <c r="BL98" s="34"/>
    </row>
    <row r="99" ht="15.75" customHeight="1">
      <c r="A99" s="212" t="s">
        <v>142</v>
      </c>
      <c r="D99" s="213"/>
      <c r="E99" s="214"/>
      <c r="G99" s="213"/>
      <c r="H99" s="215"/>
      <c r="U99" s="216"/>
      <c r="V99" s="216"/>
      <c r="W99" s="1477"/>
      <c r="AM99" s="202"/>
      <c r="AN99" s="317"/>
      <c r="AO99" s="1824"/>
      <c r="AP99" s="31"/>
      <c r="AQ99" s="1825" t="s">
        <v>143</v>
      </c>
      <c r="AR99" s="1826"/>
      <c r="AT99" s="1474"/>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1824"/>
      <c r="AP100" s="31"/>
      <c r="AQ100" s="1825" t="s">
        <v>144</v>
      </c>
      <c r="AR100" s="1826"/>
      <c r="AT100" s="1474"/>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1824"/>
      <c r="AP101" s="31"/>
      <c r="AQ101" s="1825" t="s">
        <v>145</v>
      </c>
      <c r="AR101" s="1826"/>
      <c r="AT101" s="1474"/>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1824"/>
      <c r="AP102" s="31"/>
      <c r="AQ102" s="1825" t="s">
        <v>146</v>
      </c>
      <c r="AR102" s="1826"/>
      <c r="AT102" s="1474"/>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1824"/>
      <c r="AP103" s="31"/>
      <c r="AQ103" s="1825" t="s">
        <v>147</v>
      </c>
      <c r="AR103" s="1826"/>
      <c r="AT103" s="1474"/>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148</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1824"/>
      <c r="AP104" s="31"/>
      <c r="AQ104" s="1825" t="s">
        <v>149</v>
      </c>
      <c r="AR104" s="1827"/>
      <c r="AT104" s="1474"/>
      <c r="AU104" s="222"/>
      <c r="AV104" s="222"/>
      <c r="AW104" s="222"/>
      <c r="AX104" s="222"/>
      <c r="AY104" s="222"/>
      <c r="AZ104" s="222"/>
      <c r="BA104" s="222"/>
      <c r="BB104" s="222"/>
      <c r="BC104" s="222"/>
      <c r="BD104" s="222"/>
      <c r="BE104" s="222"/>
      <c r="BF104" s="222"/>
      <c r="BG104" s="222"/>
      <c r="BH104" s="222"/>
      <c r="BI104" s="31"/>
      <c r="BJ104" s="31"/>
      <c r="BK104" s="34"/>
      <c r="BL104" s="34"/>
    </row>
    <row r="105">
      <c r="A105" s="1828"/>
      <c r="U105" s="227"/>
      <c r="V105" s="227"/>
      <c r="W105" s="1481"/>
      <c r="AM105" s="202"/>
      <c r="AN105" s="317"/>
      <c r="AO105" s="1829"/>
      <c r="AP105" s="1830"/>
      <c r="AQ105" s="1831" t="s">
        <v>150</v>
      </c>
      <c r="AR105" s="1832"/>
      <c r="AS105" s="1486"/>
      <c r="AT105" s="1487"/>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81"/>
      <c r="AM106" s="202"/>
      <c r="AN106" s="317"/>
      <c r="AO106" s="31"/>
      <c r="AP106" s="31"/>
      <c r="AQ106" s="233"/>
      <c r="AR106" s="1468"/>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81"/>
      <c r="AM107" s="202"/>
      <c r="AN107" s="31"/>
      <c r="AO107" s="31"/>
      <c r="AP107" s="31"/>
      <c r="AQ107" s="233"/>
      <c r="AR107" s="1468"/>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81"/>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81"/>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1833"/>
      <c r="B111" s="1833"/>
      <c r="C111" s="1833"/>
      <c r="D111" s="1833"/>
      <c r="E111" s="1833"/>
      <c r="F111" s="1833"/>
      <c r="G111" s="1833"/>
      <c r="H111" s="1833"/>
      <c r="I111" s="1833"/>
      <c r="J111" s="1833"/>
      <c r="K111" s="1833"/>
      <c r="L111" s="1833"/>
      <c r="M111" s="1833"/>
      <c r="N111" s="1833"/>
      <c r="O111" s="1833"/>
      <c r="P111" s="1833"/>
      <c r="Q111" s="1833"/>
      <c r="R111" s="1833"/>
      <c r="S111" s="1833"/>
      <c r="T111" s="1833"/>
      <c r="U111" s="1833"/>
      <c r="V111" s="1833"/>
      <c r="W111" s="1833"/>
      <c r="X111" s="1833"/>
      <c r="Y111" s="1833"/>
      <c r="Z111" s="1833"/>
      <c r="AA111" s="1833"/>
      <c r="AB111" s="1833"/>
      <c r="AC111" s="1833"/>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1811" t="s">
        <v>151</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1834"/>
      <c r="B113" s="242"/>
      <c r="C113" s="243" t="s">
        <v>152</v>
      </c>
      <c r="D113" s="243"/>
      <c r="E113" s="244"/>
      <c r="F113" s="245"/>
      <c r="G113" s="245"/>
      <c r="H113" s="245"/>
      <c r="I113" s="245"/>
      <c r="J113" s="245"/>
      <c r="K113" s="245"/>
      <c r="L113" s="245"/>
      <c r="M113" s="245"/>
      <c r="N113" s="244"/>
      <c r="O113" s="244"/>
      <c r="P113" s="246" t="s">
        <v>153</v>
      </c>
      <c r="Q113" s="245" t="s">
        <v>154</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155</v>
      </c>
      <c r="B114" s="253"/>
      <c r="C114" s="254" t="s">
        <v>156</v>
      </c>
      <c r="D114" s="255"/>
      <c r="E114" s="255"/>
      <c r="F114" s="253"/>
      <c r="G114" s="256" t="s">
        <v>643</v>
      </c>
      <c r="H114" s="255"/>
      <c r="I114" s="255"/>
      <c r="J114" s="253"/>
      <c r="K114" s="1835" t="s">
        <v>157</v>
      </c>
      <c r="L114" s="257" t="s">
        <v>158</v>
      </c>
      <c r="M114" s="85"/>
      <c r="N114" s="85"/>
      <c r="O114" s="85"/>
      <c r="P114" s="85"/>
      <c r="Q114" s="85"/>
      <c r="R114" s="85"/>
      <c r="S114" s="85"/>
      <c r="T114" s="85"/>
      <c r="U114" s="85"/>
      <c r="V114" s="85"/>
      <c r="W114" s="85"/>
      <c r="X114" s="85"/>
      <c r="Y114" s="85"/>
      <c r="Z114" s="85"/>
      <c r="AA114" s="85"/>
      <c r="AB114" s="86"/>
      <c r="AC114" s="258" t="s">
        <v>159</v>
      </c>
      <c r="AD114" s="255"/>
      <c r="AE114" s="255"/>
      <c r="AF114" s="253"/>
      <c r="AG114" s="258" t="s">
        <v>160</v>
      </c>
      <c r="AH114" s="255"/>
      <c r="AI114" s="253"/>
      <c r="AJ114" s="258" t="s">
        <v>161</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95"/>
      <c r="L115" s="1836" t="s">
        <v>162</v>
      </c>
      <c r="M115" s="86"/>
      <c r="N115" s="1837" t="s">
        <v>645</v>
      </c>
      <c r="O115" s="86"/>
      <c r="P115" s="1838" t="s">
        <v>164</v>
      </c>
      <c r="Q115" s="263"/>
      <c r="R115" s="1839" t="s">
        <v>165</v>
      </c>
      <c r="S115" s="263"/>
      <c r="T115" s="1838" t="s">
        <v>166</v>
      </c>
      <c r="W115" s="263"/>
      <c r="X115" s="1839" t="s">
        <v>646</v>
      </c>
      <c r="Y115" s="263"/>
      <c r="Z115" s="1836" t="s">
        <v>168</v>
      </c>
      <c r="AA115" s="85"/>
      <c r="AB115" s="86"/>
      <c r="AC115" s="265" t="s">
        <v>169</v>
      </c>
      <c r="AD115" s="251"/>
      <c r="AE115" s="251"/>
      <c r="AF115" s="261"/>
      <c r="AG115" s="265"/>
      <c r="AH115" s="251"/>
      <c r="AI115" s="261"/>
      <c r="AJ115" s="265" t="s">
        <v>169</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1840"/>
      <c r="H116" s="255"/>
      <c r="I116" s="255"/>
      <c r="J116" s="253"/>
      <c r="K116" s="1841" t="str">
        <f>+AL206</f>
        <v>#REF!</v>
      </c>
      <c r="L116" s="1842">
        <v>1.0</v>
      </c>
      <c r="M116" s="253"/>
      <c r="N116" s="1842">
        <v>1.0</v>
      </c>
      <c r="O116" s="253"/>
      <c r="P116" s="1842">
        <v>1.0</v>
      </c>
      <c r="Q116" s="255"/>
      <c r="R116" s="1843">
        <v>1.0</v>
      </c>
      <c r="S116" s="253"/>
      <c r="T116" s="1842">
        <v>1.0</v>
      </c>
      <c r="U116" s="255"/>
      <c r="V116" s="255"/>
      <c r="W116" s="253"/>
      <c r="X116" s="1844">
        <v>1.0</v>
      </c>
      <c r="Y116" s="255"/>
      <c r="Z116" s="272">
        <f t="shared" ref="Z116:Z118" si="1">ROUND(N116*L116*P116*R116*T116*X116,2)</f>
        <v>1</v>
      </c>
      <c r="AB116" s="263"/>
      <c r="AC116" s="1845"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1846"/>
      <c r="J117" s="263"/>
      <c r="K117" s="1847" t="str">
        <f t="shared" ref="K117:K118" si="3">+K116</f>
        <v>#REF!</v>
      </c>
      <c r="L117" s="1848">
        <v>1.0</v>
      </c>
      <c r="M117" s="263"/>
      <c r="N117" s="1848">
        <v>1.0</v>
      </c>
      <c r="O117" s="263"/>
      <c r="P117" s="1848">
        <v>1.0</v>
      </c>
      <c r="R117" s="1849">
        <v>1.0</v>
      </c>
      <c r="S117" s="263"/>
      <c r="T117" s="1848">
        <v>1.0</v>
      </c>
      <c r="W117" s="263"/>
      <c r="X117" s="1850">
        <v>1.0</v>
      </c>
      <c r="Z117" s="272">
        <f t="shared" si="1"/>
        <v>1</v>
      </c>
      <c r="AB117" s="263"/>
      <c r="AC117" s="1845"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1851"/>
      <c r="H118" s="251"/>
      <c r="I118" s="251"/>
      <c r="J118" s="261"/>
      <c r="K118" s="1852" t="str">
        <f t="shared" si="3"/>
        <v>#REF!</v>
      </c>
      <c r="L118" s="1848">
        <v>1.0</v>
      </c>
      <c r="M118" s="263"/>
      <c r="N118" s="286">
        <v>1.0</v>
      </c>
      <c r="O118" s="261"/>
      <c r="P118" s="286">
        <v>1.0</v>
      </c>
      <c r="Q118" s="251"/>
      <c r="R118" s="285">
        <v>1.0</v>
      </c>
      <c r="S118" s="261"/>
      <c r="T118" s="286">
        <v>1.0</v>
      </c>
      <c r="U118" s="251"/>
      <c r="V118" s="251"/>
      <c r="W118" s="261"/>
      <c r="X118" s="287">
        <v>1.0</v>
      </c>
      <c r="Y118" s="251"/>
      <c r="Z118" s="272">
        <f t="shared" si="1"/>
        <v>1</v>
      </c>
      <c r="AB118" s="263"/>
      <c r="AC118" s="1853"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170</v>
      </c>
      <c r="B119" s="261"/>
      <c r="C119" s="291"/>
      <c r="D119" s="85"/>
      <c r="E119" s="85"/>
      <c r="F119" s="86"/>
      <c r="G119" s="291">
        <f>SUM(G116:J118)</f>
        <v>0</v>
      </c>
      <c r="H119" s="85"/>
      <c r="I119" s="85"/>
      <c r="J119" s="86"/>
      <c r="K119" s="1854" t="s">
        <v>171</v>
      </c>
      <c r="L119" s="1854"/>
      <c r="M119" s="1854"/>
      <c r="N119" s="1854"/>
      <c r="O119" s="1854"/>
      <c r="P119" s="1854"/>
      <c r="Q119" s="1854"/>
      <c r="R119" s="1854"/>
      <c r="S119" s="1854"/>
      <c r="T119" s="1854"/>
      <c r="U119" s="1854"/>
      <c r="V119" s="1854"/>
      <c r="W119" s="1854"/>
      <c r="X119" s="1854"/>
      <c r="Y119" s="1854"/>
      <c r="Z119" s="1854"/>
      <c r="AA119" s="1854"/>
      <c r="AB119" s="1854"/>
      <c r="AC119" s="296"/>
      <c r="AD119" s="297"/>
      <c r="AE119" s="297"/>
      <c r="AF119" s="297"/>
      <c r="AG119" s="297"/>
      <c r="AH119" s="297" t="s">
        <v>172</v>
      </c>
      <c r="AI119" s="298"/>
      <c r="AJ119" s="299" t="str">
        <f>SUM(AJ116:AM118)</f>
        <v>#REF!</v>
      </c>
      <c r="AK119" s="85"/>
      <c r="AL119" s="85"/>
      <c r="AM119" s="86"/>
      <c r="AN119" s="31"/>
      <c r="AO119" s="31"/>
      <c r="AP119" s="1855"/>
      <c r="AQ119" s="1856"/>
      <c r="AR119" s="1856"/>
      <c r="AS119" s="1857"/>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583"/>
      <c r="AS120" s="1858"/>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174</v>
      </c>
      <c r="D121" s="308"/>
      <c r="E121" s="309"/>
      <c r="F121" s="309"/>
      <c r="G121" s="309"/>
      <c r="H121" s="309"/>
      <c r="I121" s="310"/>
      <c r="J121" s="310"/>
      <c r="K121" s="309"/>
      <c r="L121" s="309"/>
      <c r="M121" s="309"/>
      <c r="N121" s="309"/>
      <c r="O121" s="92"/>
      <c r="P121" s="407" t="s">
        <v>175</v>
      </c>
      <c r="Q121" s="255"/>
      <c r="R121" s="255"/>
      <c r="S121" s="253"/>
      <c r="T121" s="312" t="s">
        <v>176</v>
      </c>
      <c r="U121" s="85"/>
      <c r="V121" s="85"/>
      <c r="W121" s="85"/>
      <c r="X121" s="85"/>
      <c r="Y121" s="85"/>
      <c r="Z121" s="85"/>
      <c r="AA121" s="85"/>
      <c r="AB121" s="86"/>
      <c r="AC121" s="254" t="s">
        <v>177</v>
      </c>
      <c r="AD121" s="255"/>
      <c r="AE121" s="255"/>
      <c r="AF121" s="253"/>
      <c r="AG121" s="254" t="s">
        <v>160</v>
      </c>
      <c r="AH121" s="255"/>
      <c r="AI121" s="253"/>
      <c r="AJ121" s="254" t="s">
        <v>161</v>
      </c>
      <c r="AK121" s="255"/>
      <c r="AL121" s="255"/>
      <c r="AM121" s="253"/>
      <c r="AN121" s="315"/>
      <c r="AO121" s="315"/>
      <c r="AP121" s="1586"/>
      <c r="AQ121" s="1859"/>
      <c r="AR121" s="1859"/>
      <c r="AS121" s="1860"/>
      <c r="AT121" s="315"/>
      <c r="AU121" s="315"/>
      <c r="AV121" s="315"/>
      <c r="AW121" s="315"/>
      <c r="AX121" s="1541" t="s">
        <v>647</v>
      </c>
      <c r="AY121" s="807"/>
      <c r="AZ121" s="317" t="s">
        <v>648</v>
      </c>
      <c r="BA121" s="31"/>
      <c r="BB121" s="31"/>
      <c r="BC121" s="318"/>
      <c r="BD121" s="318"/>
      <c r="BE121" s="318"/>
      <c r="BF121" s="318"/>
      <c r="BG121" s="315"/>
      <c r="BH121" s="315"/>
      <c r="BI121" s="315"/>
      <c r="BJ121" s="315"/>
      <c r="BK121" s="92"/>
      <c r="BL121" s="92"/>
    </row>
    <row r="122" ht="12.0" customHeight="1">
      <c r="A122" s="266" t="s">
        <v>178</v>
      </c>
      <c r="B122" s="253"/>
      <c r="C122" s="312" t="s">
        <v>179</v>
      </c>
      <c r="D122" s="85"/>
      <c r="E122" s="85"/>
      <c r="F122" s="85"/>
      <c r="G122" s="85"/>
      <c r="H122" s="85"/>
      <c r="I122" s="85"/>
      <c r="J122" s="86"/>
      <c r="K122" s="312" t="s">
        <v>156</v>
      </c>
      <c r="L122" s="85"/>
      <c r="M122" s="85"/>
      <c r="N122" s="85"/>
      <c r="O122" s="86"/>
      <c r="P122" s="282"/>
      <c r="Q122" s="251"/>
      <c r="R122" s="251"/>
      <c r="S122" s="261"/>
      <c r="T122" s="282" t="s">
        <v>181</v>
      </c>
      <c r="U122" s="251"/>
      <c r="V122" s="251"/>
      <c r="W122" s="261"/>
      <c r="X122" s="275" t="s">
        <v>182</v>
      </c>
      <c r="Y122" s="263"/>
      <c r="Z122" s="1861" t="s">
        <v>129</v>
      </c>
      <c r="AA122" s="251"/>
      <c r="AB122" s="261"/>
      <c r="AC122" s="262" t="s">
        <v>183</v>
      </c>
      <c r="AF122" s="263"/>
      <c r="AG122" s="265"/>
      <c r="AH122" s="251"/>
      <c r="AI122" s="261"/>
      <c r="AJ122" s="262" t="s">
        <v>169</v>
      </c>
      <c r="AM122" s="263"/>
      <c r="AN122" s="31"/>
      <c r="AO122" s="31"/>
      <c r="AP122" s="1862"/>
      <c r="AQ122" s="1863"/>
      <c r="AR122" s="1863" t="s">
        <v>184</v>
      </c>
      <c r="AS122" s="1864"/>
      <c r="AT122" s="31"/>
      <c r="AU122" s="31"/>
      <c r="AV122" s="31"/>
      <c r="AW122" s="31"/>
      <c r="AX122" s="1544" t="s">
        <v>649</v>
      </c>
      <c r="AY122" s="315"/>
      <c r="AZ122" s="1545" t="s">
        <v>650</v>
      </c>
      <c r="BA122" s="315"/>
      <c r="BB122" s="318"/>
      <c r="BC122" s="328"/>
      <c r="BD122" s="328"/>
      <c r="BE122" s="328"/>
      <c r="BF122" s="328"/>
      <c r="BG122" s="31"/>
      <c r="BH122" s="31"/>
      <c r="BI122" s="31"/>
      <c r="BJ122" s="31"/>
      <c r="BK122" s="34"/>
      <c r="BL122" s="34"/>
    </row>
    <row r="123" ht="11.25" customHeight="1">
      <c r="A123" s="275" t="s">
        <v>185</v>
      </c>
      <c r="B123" s="263"/>
      <c r="C123" s="330"/>
      <c r="D123" s="255"/>
      <c r="E123" s="255"/>
      <c r="F123" s="255"/>
      <c r="G123" s="255"/>
      <c r="H123" s="255"/>
      <c r="I123" s="255"/>
      <c r="J123" s="253"/>
      <c r="K123" s="1865"/>
      <c r="L123" s="255"/>
      <c r="M123" s="255"/>
      <c r="N123" s="255"/>
      <c r="O123" s="253"/>
      <c r="P123" s="1866"/>
      <c r="Q123" s="255"/>
      <c r="R123" s="255"/>
      <c r="S123" s="253"/>
      <c r="T123" s="1867">
        <v>0.85</v>
      </c>
      <c r="U123" s="255"/>
      <c r="V123" s="255"/>
      <c r="W123" s="253"/>
      <c r="X123" s="1868">
        <v>1.0</v>
      </c>
      <c r="Y123" s="253"/>
      <c r="Z123" s="1868"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1869"/>
      <c r="AR123" s="340">
        <f t="shared" ref="AR123:AR130" si="8">AP123-AQ123</f>
        <v>0</v>
      </c>
      <c r="AS123" s="1870" t="str">
        <f t="shared" ref="AS123:AS130" si="9">ROUND(((0.1*AP123)+(0.9*AR123))/AP123,2)</f>
        <v>#DIV/0!</v>
      </c>
      <c r="AT123" s="31"/>
      <c r="AU123" s="31"/>
      <c r="AV123" s="31"/>
      <c r="AW123" s="31"/>
      <c r="AX123" s="1551" t="s">
        <v>651</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186</v>
      </c>
      <c r="B124" s="263"/>
      <c r="C124" s="342"/>
      <c r="J124" s="263"/>
      <c r="K124" s="1871"/>
      <c r="O124" s="263"/>
      <c r="P124" s="1872"/>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1873"/>
      <c r="AR124" s="352">
        <f t="shared" si="8"/>
        <v>0</v>
      </c>
      <c r="AS124" s="419" t="str">
        <f t="shared" si="9"/>
        <v>#DIV/0!</v>
      </c>
      <c r="AT124" s="31"/>
      <c r="AU124" s="31"/>
      <c r="AV124" s="31"/>
      <c r="AW124" s="31"/>
      <c r="AX124" s="1561"/>
      <c r="AY124" s="31"/>
      <c r="AZ124" s="1562" t="s">
        <v>652</v>
      </c>
      <c r="BA124" s="328"/>
      <c r="BB124" s="328"/>
      <c r="BC124" s="328"/>
      <c r="BD124" s="328"/>
      <c r="BE124" s="328"/>
      <c r="BF124" s="328"/>
      <c r="BG124" s="31"/>
      <c r="BH124" s="31"/>
      <c r="BI124" s="31"/>
      <c r="BJ124" s="31"/>
      <c r="BK124" s="34"/>
      <c r="BL124" s="34"/>
    </row>
    <row r="125" ht="11.25" customHeight="1">
      <c r="A125" s="275" t="s">
        <v>187</v>
      </c>
      <c r="B125" s="263"/>
      <c r="C125" s="342"/>
      <c r="J125" s="263"/>
      <c r="K125" s="1871"/>
      <c r="O125" s="263"/>
      <c r="P125" s="1872"/>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1873"/>
      <c r="AR125" s="352">
        <f t="shared" si="8"/>
        <v>0</v>
      </c>
      <c r="AS125" s="419" t="str">
        <f t="shared" si="9"/>
        <v>#DIV/0!</v>
      </c>
      <c r="AT125" s="31"/>
      <c r="AU125" s="31"/>
      <c r="AV125" s="31"/>
      <c r="AW125" s="31"/>
      <c r="AX125" s="1561"/>
      <c r="AY125" s="31"/>
      <c r="AZ125" s="328"/>
      <c r="BA125" s="328"/>
      <c r="BB125" s="328"/>
      <c r="BC125" s="328"/>
      <c r="BD125" s="328"/>
      <c r="BE125" s="328"/>
      <c r="BF125" s="328"/>
      <c r="BG125" s="31"/>
      <c r="BH125" s="31"/>
      <c r="BI125" s="31"/>
      <c r="BJ125" s="31"/>
      <c r="BK125" s="34"/>
      <c r="BL125" s="34"/>
    </row>
    <row r="126" ht="11.25" customHeight="1">
      <c r="A126" s="275" t="s">
        <v>188</v>
      </c>
      <c r="B126" s="263"/>
      <c r="C126" s="1861"/>
      <c r="D126" s="251"/>
      <c r="E126" s="251"/>
      <c r="F126" s="251"/>
      <c r="G126" s="251"/>
      <c r="H126" s="251"/>
      <c r="I126" s="251"/>
      <c r="J126" s="261"/>
      <c r="K126" s="1874"/>
      <c r="L126" s="251"/>
      <c r="M126" s="251"/>
      <c r="N126" s="251"/>
      <c r="O126" s="261"/>
      <c r="P126" s="1875"/>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1876">
        <v>1.0</v>
      </c>
      <c r="AH126" s="251"/>
      <c r="AI126" s="261"/>
      <c r="AJ126" s="349" t="str">
        <f t="shared" si="7"/>
        <v>#DIV/0!</v>
      </c>
      <c r="AM126" s="263"/>
      <c r="AN126" s="31"/>
      <c r="AO126" s="31"/>
      <c r="AP126" s="428"/>
      <c r="AQ126" s="1877"/>
      <c r="AR126" s="1559">
        <f t="shared" si="8"/>
        <v>0</v>
      </c>
      <c r="AS126" s="431" t="str">
        <f t="shared" si="9"/>
        <v>#DIV/0!</v>
      </c>
      <c r="AT126" s="31"/>
      <c r="AU126" s="31"/>
      <c r="AV126" s="31"/>
      <c r="AW126" s="31"/>
      <c r="AX126" s="1561"/>
      <c r="AY126" s="31"/>
      <c r="AZ126" s="328"/>
      <c r="BA126" s="328"/>
      <c r="BB126" s="328"/>
      <c r="BC126" s="328"/>
      <c r="BD126" s="328"/>
      <c r="BE126" s="328"/>
      <c r="BF126" s="328"/>
      <c r="BG126" s="31"/>
      <c r="BH126" s="31"/>
      <c r="BI126" s="31"/>
      <c r="BJ126" s="31"/>
      <c r="BK126" s="34"/>
      <c r="BL126" s="34"/>
    </row>
    <row r="127" ht="11.25" hidden="1" customHeight="1">
      <c r="A127" s="1878" t="s">
        <v>189</v>
      </c>
      <c r="B127" s="1879"/>
      <c r="C127" s="366"/>
      <c r="J127" s="367"/>
      <c r="K127" s="1871"/>
      <c r="O127" s="263"/>
      <c r="P127" s="1872"/>
      <c r="S127" s="263"/>
      <c r="T127" s="368">
        <v>1.0</v>
      </c>
      <c r="W127" s="263"/>
      <c r="X127" s="368">
        <v>1.0</v>
      </c>
      <c r="Y127" s="263"/>
      <c r="Z127" s="368" t="str">
        <f t="shared" ref="Z127:Z130" si="10">IF(AS127&lt;0.6,"0.60",AS127)</f>
        <v>#DIV/0!</v>
      </c>
      <c r="AA127" s="263"/>
      <c r="AB127" s="1880"/>
      <c r="AC127" s="347" t="str">
        <f t="shared" si="6"/>
        <v>#DIV/0!</v>
      </c>
      <c r="AF127" s="263"/>
      <c r="AG127" s="370">
        <v>1.0</v>
      </c>
      <c r="AI127" s="263"/>
      <c r="AJ127" s="349" t="str">
        <f t="shared" si="7"/>
        <v>#DIV/0!</v>
      </c>
      <c r="AM127" s="263"/>
      <c r="AN127" s="31"/>
      <c r="AO127" s="31"/>
      <c r="AP127" s="1881"/>
      <c r="AQ127" s="1882"/>
      <c r="AR127" s="352">
        <f t="shared" si="8"/>
        <v>0</v>
      </c>
      <c r="AS127" s="419" t="str">
        <f t="shared" si="9"/>
        <v>#DIV/0!</v>
      </c>
      <c r="AT127" s="31"/>
      <c r="AU127" s="31"/>
      <c r="AV127" s="31"/>
      <c r="AW127" s="31"/>
      <c r="AX127" s="1561"/>
      <c r="AY127" s="31"/>
      <c r="AZ127" s="328"/>
      <c r="BA127" s="328"/>
      <c r="BB127" s="328"/>
      <c r="BC127" s="328"/>
      <c r="BD127" s="328"/>
      <c r="BE127" s="328"/>
      <c r="BF127" s="328"/>
      <c r="BG127" s="31"/>
      <c r="BH127" s="31"/>
      <c r="BI127" s="31"/>
      <c r="BJ127" s="31"/>
      <c r="BK127" s="34"/>
      <c r="BL127" s="34"/>
    </row>
    <row r="128" ht="11.25" hidden="1" customHeight="1">
      <c r="A128" s="1878" t="s">
        <v>190</v>
      </c>
      <c r="B128" s="1879"/>
      <c r="C128" s="366"/>
      <c r="J128" s="367"/>
      <c r="K128" s="1871"/>
      <c r="O128" s="263"/>
      <c r="P128" s="1872"/>
      <c r="S128" s="263"/>
      <c r="T128" s="368">
        <v>1.0</v>
      </c>
      <c r="W128" s="263"/>
      <c r="X128" s="368">
        <v>1.0</v>
      </c>
      <c r="Y128" s="263"/>
      <c r="Z128" s="368" t="str">
        <f t="shared" si="10"/>
        <v>#DIV/0!</v>
      </c>
      <c r="AA128" s="263"/>
      <c r="AB128" s="1880"/>
      <c r="AC128" s="347" t="str">
        <f t="shared" si="6"/>
        <v>#DIV/0!</v>
      </c>
      <c r="AF128" s="263"/>
      <c r="AG128" s="370">
        <v>1.0</v>
      </c>
      <c r="AI128" s="263"/>
      <c r="AJ128" s="349" t="str">
        <f t="shared" si="7"/>
        <v>#DIV/0!</v>
      </c>
      <c r="AM128" s="263"/>
      <c r="AN128" s="31"/>
      <c r="AO128" s="31"/>
      <c r="AP128" s="1881"/>
      <c r="AQ128" s="1882"/>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1883" t="s">
        <v>191</v>
      </c>
      <c r="B129" s="1879"/>
      <c r="C129" s="366"/>
      <c r="J129" s="367"/>
      <c r="K129" s="1871"/>
      <c r="O129" s="263"/>
      <c r="P129" s="1872"/>
      <c r="S129" s="263"/>
      <c r="T129" s="368">
        <v>1.0</v>
      </c>
      <c r="W129" s="263"/>
      <c r="X129" s="368">
        <v>1.0</v>
      </c>
      <c r="Y129" s="263"/>
      <c r="Z129" s="368" t="str">
        <f t="shared" si="10"/>
        <v>#DIV/0!</v>
      </c>
      <c r="AA129" s="263"/>
      <c r="AB129" s="1880"/>
      <c r="AC129" s="347" t="str">
        <f t="shared" si="6"/>
        <v>#DIV/0!</v>
      </c>
      <c r="AF129" s="263"/>
      <c r="AG129" s="370">
        <v>1.0</v>
      </c>
      <c r="AI129" s="263"/>
      <c r="AJ129" s="349" t="str">
        <f t="shared" si="7"/>
        <v>#DIV/0!</v>
      </c>
      <c r="AM129" s="263"/>
      <c r="AN129" s="31"/>
      <c r="AO129" s="31"/>
      <c r="AP129" s="1881"/>
      <c r="AQ129" s="1882"/>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1884" t="s">
        <v>192</v>
      </c>
      <c r="B130" s="1885"/>
      <c r="C130" s="372"/>
      <c r="D130" s="251"/>
      <c r="E130" s="251"/>
      <c r="F130" s="251"/>
      <c r="G130" s="251"/>
      <c r="H130" s="251"/>
      <c r="I130" s="251"/>
      <c r="J130" s="373"/>
      <c r="K130" s="1874"/>
      <c r="L130" s="251"/>
      <c r="M130" s="251"/>
      <c r="N130" s="251"/>
      <c r="O130" s="261"/>
      <c r="P130" s="1875"/>
      <c r="Q130" s="251"/>
      <c r="R130" s="251"/>
      <c r="S130" s="261"/>
      <c r="T130" s="375">
        <v>1.0</v>
      </c>
      <c r="U130" s="251"/>
      <c r="V130" s="251"/>
      <c r="W130" s="261"/>
      <c r="X130" s="375">
        <v>1.0</v>
      </c>
      <c r="Y130" s="261"/>
      <c r="Z130" s="375" t="str">
        <f t="shared" si="10"/>
        <v>#DIV/0!</v>
      </c>
      <c r="AA130" s="261"/>
      <c r="AB130" s="1886"/>
      <c r="AC130" s="376" t="str">
        <f t="shared" si="6"/>
        <v>#DIV/0!</v>
      </c>
      <c r="AD130" s="251"/>
      <c r="AE130" s="251"/>
      <c r="AF130" s="261"/>
      <c r="AG130" s="370">
        <v>1.0</v>
      </c>
      <c r="AI130" s="263"/>
      <c r="AJ130" s="349" t="str">
        <f t="shared" si="7"/>
        <v>#DIV/0!</v>
      </c>
      <c r="AM130" s="263"/>
      <c r="AN130" s="31"/>
      <c r="AO130" s="31"/>
      <c r="AP130" s="1887"/>
      <c r="AQ130" s="1888"/>
      <c r="AR130" s="1559">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193</v>
      </c>
      <c r="D131" s="85"/>
      <c r="E131" s="85"/>
      <c r="F131" s="85"/>
      <c r="G131" s="85"/>
      <c r="H131" s="85"/>
      <c r="I131" s="85"/>
      <c r="J131" s="383"/>
      <c r="K131" s="1889">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194</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1855"/>
      <c r="AQ132" s="1856"/>
      <c r="AR132" s="1856"/>
      <c r="AS132" s="1857"/>
      <c r="AT132" s="31"/>
      <c r="AU132" s="31"/>
      <c r="AV132" s="31"/>
      <c r="AW132" s="31"/>
      <c r="AX132" s="31"/>
      <c r="AY132" s="31"/>
      <c r="BG132" s="31"/>
      <c r="BH132" s="31"/>
      <c r="BI132" s="31"/>
      <c r="BJ132" s="31"/>
      <c r="BK132" s="34"/>
      <c r="BL132" s="34"/>
    </row>
    <row r="133" ht="12.75" customHeight="1">
      <c r="A133" s="400"/>
      <c r="B133" s="392"/>
      <c r="C133" s="401" t="s">
        <v>195</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583"/>
      <c r="AS133" s="1858"/>
      <c r="AT133" s="31"/>
      <c r="AU133" s="31"/>
      <c r="AV133" s="31"/>
      <c r="AW133" s="31"/>
      <c r="AX133" s="31"/>
      <c r="AY133" s="31"/>
      <c r="BG133" s="31"/>
      <c r="BH133" s="31"/>
      <c r="BI133" s="31"/>
      <c r="BJ133" s="31"/>
      <c r="BK133" s="34"/>
      <c r="BL133" s="34"/>
    </row>
    <row r="134" ht="11.25" customHeight="1">
      <c r="A134" s="266" t="s">
        <v>196</v>
      </c>
      <c r="B134" s="255"/>
      <c r="C134" s="255"/>
      <c r="D134" s="255"/>
      <c r="E134" s="255"/>
      <c r="F134" s="255"/>
      <c r="G134" s="255"/>
      <c r="H134" s="255"/>
      <c r="I134" s="253"/>
      <c r="J134" s="407" t="s">
        <v>197</v>
      </c>
      <c r="K134" s="255"/>
      <c r="L134" s="253"/>
      <c r="M134" s="407" t="s">
        <v>198</v>
      </c>
      <c r="N134" s="255"/>
      <c r="O134" s="253"/>
      <c r="P134" s="266" t="s">
        <v>161</v>
      </c>
      <c r="Q134" s="255"/>
      <c r="R134" s="255"/>
      <c r="S134" s="253"/>
      <c r="T134" s="266" t="s">
        <v>176</v>
      </c>
      <c r="U134" s="255"/>
      <c r="V134" s="255"/>
      <c r="W134" s="255"/>
      <c r="X134" s="255"/>
      <c r="Y134" s="255"/>
      <c r="Z134" s="255"/>
      <c r="AA134" s="255"/>
      <c r="AB134" s="253"/>
      <c r="AC134" s="258" t="s">
        <v>177</v>
      </c>
      <c r="AD134" s="255"/>
      <c r="AE134" s="255"/>
      <c r="AF134" s="253"/>
      <c r="AG134" s="258" t="s">
        <v>160</v>
      </c>
      <c r="AH134" s="255"/>
      <c r="AI134" s="253"/>
      <c r="AJ134" s="258" t="s">
        <v>161</v>
      </c>
      <c r="AK134" s="255"/>
      <c r="AL134" s="255"/>
      <c r="AM134" s="253"/>
      <c r="AN134" s="31"/>
      <c r="AO134" s="31"/>
      <c r="AP134" s="1586"/>
      <c r="AQ134" s="1859"/>
      <c r="AR134" s="1859"/>
      <c r="AS134" s="1860"/>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199</v>
      </c>
      <c r="Q135" s="251"/>
      <c r="R135" s="251"/>
      <c r="S135" s="261"/>
      <c r="T135" s="312" t="s">
        <v>135</v>
      </c>
      <c r="U135" s="85"/>
      <c r="V135" s="85"/>
      <c r="W135" s="85"/>
      <c r="X135" s="86"/>
      <c r="Y135" s="1890" t="s">
        <v>129</v>
      </c>
      <c r="Z135" s="85"/>
      <c r="AA135" s="85"/>
      <c r="AB135" s="86"/>
      <c r="AC135" s="265" t="s">
        <v>183</v>
      </c>
      <c r="AD135" s="251"/>
      <c r="AE135" s="251"/>
      <c r="AF135" s="261"/>
      <c r="AG135" s="265"/>
      <c r="AH135" s="251"/>
      <c r="AI135" s="261"/>
      <c r="AJ135" s="265" t="s">
        <v>169</v>
      </c>
      <c r="AK135" s="251"/>
      <c r="AL135" s="251"/>
      <c r="AM135" s="261"/>
      <c r="AN135" s="31"/>
      <c r="AO135" s="31"/>
      <c r="AP135" s="1862"/>
      <c r="AQ135" s="1863"/>
      <c r="AR135" s="1863" t="s">
        <v>184</v>
      </c>
      <c r="AS135" s="1864"/>
      <c r="AT135" s="31"/>
      <c r="AU135" s="31"/>
      <c r="AV135" s="31"/>
      <c r="AW135" s="31"/>
      <c r="AX135" s="31"/>
      <c r="AY135" s="31"/>
      <c r="BG135" s="31"/>
      <c r="BH135" s="31"/>
      <c r="BI135" s="31"/>
      <c r="BJ135" s="31"/>
      <c r="BK135" s="34"/>
      <c r="BL135" s="34"/>
    </row>
    <row r="136" ht="16.5" customHeight="1">
      <c r="A136" s="275" t="s">
        <v>185</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1891">
        <v>1.0</v>
      </c>
      <c r="AI136" s="263"/>
      <c r="AJ136" s="415" t="str">
        <f t="shared" ref="AJ136:AJ152" si="13">J136*AC136*AG136</f>
        <v>#DIV/0!</v>
      </c>
      <c r="AM136" s="263"/>
      <c r="AN136" s="31"/>
      <c r="AO136" s="31"/>
      <c r="AP136" s="417"/>
      <c r="AQ136" s="1869"/>
      <c r="AR136" s="340">
        <f t="shared" ref="AR136:AR139" si="14">AP136-AQ136</f>
        <v>0</v>
      </c>
      <c r="AS136" s="1892" t="str">
        <f t="shared" ref="AS136:AS152" si="15">ROUND(((0.1*AP136)+(0.9*AR136))/AP136,2)</f>
        <v>#DIV/0!</v>
      </c>
      <c r="AT136" s="31"/>
      <c r="AU136" s="31"/>
      <c r="AV136" s="31"/>
      <c r="AW136" s="31"/>
      <c r="AX136" s="31"/>
      <c r="AY136" s="31"/>
      <c r="BG136" s="31"/>
      <c r="BH136" s="31"/>
      <c r="BI136" s="31"/>
      <c r="BJ136" s="31"/>
      <c r="BK136" s="34"/>
      <c r="BL136" s="34"/>
    </row>
    <row r="137" ht="16.5" customHeight="1">
      <c r="A137" s="275" t="s">
        <v>186</v>
      </c>
      <c r="C137" s="412"/>
      <c r="I137" s="263"/>
      <c r="J137" s="414"/>
      <c r="L137" s="263"/>
      <c r="M137" s="420"/>
      <c r="O137" s="263"/>
      <c r="P137" s="415"/>
      <c r="S137" s="263"/>
      <c r="T137" s="368">
        <v>0.85</v>
      </c>
      <c r="X137" s="263"/>
      <c r="Y137" s="368" t="str">
        <f t="shared" si="11"/>
        <v>#DIV/0!</v>
      </c>
      <c r="AB137" s="263"/>
      <c r="AC137" s="422" t="str">
        <f t="shared" si="12"/>
        <v>#DIV/0!</v>
      </c>
      <c r="AF137" s="263"/>
      <c r="AG137" s="1891">
        <v>1.0</v>
      </c>
      <c r="AI137" s="263"/>
      <c r="AJ137" s="415" t="str">
        <f t="shared" si="13"/>
        <v>#DIV/0!</v>
      </c>
      <c r="AM137" s="263"/>
      <c r="AN137" s="31"/>
      <c r="AO137" s="31"/>
      <c r="AP137" s="350"/>
      <c r="AQ137" s="1869"/>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187</v>
      </c>
      <c r="C138" s="412"/>
      <c r="I138" s="263"/>
      <c r="J138" s="414"/>
      <c r="L138" s="263"/>
      <c r="M138" s="420"/>
      <c r="O138" s="263"/>
      <c r="P138" s="415"/>
      <c r="S138" s="263"/>
      <c r="T138" s="368"/>
      <c r="X138" s="263"/>
      <c r="Y138" s="368" t="str">
        <f t="shared" si="11"/>
        <v>#DIV/0!</v>
      </c>
      <c r="AB138" s="263"/>
      <c r="AC138" s="422" t="str">
        <f t="shared" si="12"/>
        <v>#DIV/0!</v>
      </c>
      <c r="AF138" s="263"/>
      <c r="AG138" s="1891">
        <v>1.0</v>
      </c>
      <c r="AI138" s="263"/>
      <c r="AJ138" s="415" t="str">
        <f t="shared" si="13"/>
        <v>#DIV/0!</v>
      </c>
      <c r="AM138" s="263"/>
      <c r="AN138" s="31"/>
      <c r="AO138" s="31"/>
      <c r="AP138" s="350"/>
      <c r="AQ138" s="1873"/>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188</v>
      </c>
      <c r="C139" s="412"/>
      <c r="I139" s="263"/>
      <c r="J139" s="414"/>
      <c r="L139" s="263"/>
      <c r="M139" s="420"/>
      <c r="O139" s="263"/>
      <c r="P139" s="415"/>
      <c r="S139" s="263"/>
      <c r="T139" s="368"/>
      <c r="X139" s="263"/>
      <c r="Y139" s="368" t="str">
        <f t="shared" si="11"/>
        <v>#DIV/0!</v>
      </c>
      <c r="AB139" s="263"/>
      <c r="AC139" s="422" t="str">
        <f t="shared" si="12"/>
        <v>#DIV/0!</v>
      </c>
      <c r="AF139" s="263"/>
      <c r="AG139" s="1891">
        <v>1.0</v>
      </c>
      <c r="AI139" s="263"/>
      <c r="AJ139" s="415" t="str">
        <f t="shared" si="13"/>
        <v>#DIV/0!</v>
      </c>
      <c r="AM139" s="263"/>
      <c r="AN139" s="31"/>
      <c r="AO139" s="31"/>
      <c r="AP139" s="428"/>
      <c r="AQ139" s="1877"/>
      <c r="AR139" s="1559">
        <f t="shared" si="14"/>
        <v>0</v>
      </c>
      <c r="AS139" s="431" t="str">
        <f t="shared" si="15"/>
        <v>#DIV/0!</v>
      </c>
      <c r="AT139" s="31"/>
      <c r="AU139" s="31"/>
      <c r="AV139" s="31"/>
      <c r="AW139" s="31"/>
      <c r="AX139" s="31"/>
      <c r="AY139" s="31"/>
      <c r="BG139" s="31"/>
      <c r="BH139" s="31"/>
      <c r="BI139" s="31"/>
      <c r="BJ139" s="31"/>
      <c r="BK139" s="34"/>
      <c r="BL139" s="34"/>
    </row>
    <row r="140" ht="12.75" customHeight="1">
      <c r="A140" s="275" t="s">
        <v>189</v>
      </c>
      <c r="C140" s="1893"/>
      <c r="D140" s="251"/>
      <c r="E140" s="251"/>
      <c r="F140" s="251"/>
      <c r="G140" s="251"/>
      <c r="H140" s="251"/>
      <c r="I140" s="261"/>
      <c r="J140" s="414"/>
      <c r="L140" s="263"/>
      <c r="M140" s="420"/>
      <c r="O140" s="263"/>
      <c r="P140" s="415"/>
      <c r="S140" s="263"/>
      <c r="T140" s="368"/>
      <c r="X140" s="263"/>
      <c r="Y140" s="368">
        <v>1.0</v>
      </c>
      <c r="AB140" s="263"/>
      <c r="AC140" s="415">
        <f t="shared" si="12"/>
        <v>0</v>
      </c>
      <c r="AF140" s="263"/>
      <c r="AG140" s="1891">
        <v>1.0</v>
      </c>
      <c r="AI140" s="263"/>
      <c r="AJ140" s="415">
        <f t="shared" si="13"/>
        <v>0</v>
      </c>
      <c r="AM140" s="263"/>
      <c r="AN140" s="31"/>
      <c r="AO140" s="31"/>
      <c r="AP140" s="428"/>
      <c r="AQ140" s="1877"/>
      <c r="AR140" s="1566">
        <v>0.0</v>
      </c>
      <c r="AS140" s="431" t="str">
        <f t="shared" si="15"/>
        <v>#DIV/0!</v>
      </c>
      <c r="AT140" s="31"/>
      <c r="AU140" s="31"/>
      <c r="AV140" s="31"/>
      <c r="AW140" s="31"/>
      <c r="AX140" s="31"/>
      <c r="AY140" s="31"/>
      <c r="BG140" s="31"/>
      <c r="BH140" s="31"/>
      <c r="BI140" s="31"/>
      <c r="BJ140" s="31"/>
      <c r="BK140" s="34"/>
      <c r="BL140" s="34"/>
    </row>
    <row r="141" ht="12.75" hidden="1" customHeight="1">
      <c r="A141" s="424"/>
      <c r="B141" s="1894"/>
      <c r="C141" s="424" t="s">
        <v>653</v>
      </c>
      <c r="D141" s="1894"/>
      <c r="E141" s="1894"/>
      <c r="F141" s="1894"/>
      <c r="G141" s="1894"/>
      <c r="H141" s="1894"/>
      <c r="I141" s="1895"/>
      <c r="J141" s="414"/>
      <c r="L141" s="263"/>
      <c r="M141" s="1896"/>
      <c r="O141" s="263"/>
      <c r="P141" s="415"/>
      <c r="S141" s="263"/>
      <c r="T141" s="368">
        <v>1.0</v>
      </c>
      <c r="X141" s="263"/>
      <c r="Y141" s="368" t="str">
        <f t="shared" ref="Y141:Y151" si="16">+AS141</f>
        <v>#DIV/0!</v>
      </c>
      <c r="AB141" s="263"/>
      <c r="AC141" s="415" t="str">
        <f t="shared" si="12"/>
        <v>#DIV/0!</v>
      </c>
      <c r="AF141" s="263"/>
      <c r="AG141" s="1891">
        <v>1.0</v>
      </c>
      <c r="AI141" s="263"/>
      <c r="AJ141" s="415" t="str">
        <f t="shared" si="13"/>
        <v>#DIV/0!</v>
      </c>
      <c r="AM141" s="263"/>
      <c r="AN141" s="31"/>
      <c r="AO141" s="31"/>
      <c r="AP141" s="1611"/>
      <c r="AQ141" s="1612"/>
      <c r="AR141" s="1897">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1898"/>
      <c r="B142" s="693"/>
      <c r="C142" s="424" t="s">
        <v>653</v>
      </c>
      <c r="D142" s="693"/>
      <c r="E142" s="693"/>
      <c r="F142" s="693"/>
      <c r="G142" s="693"/>
      <c r="H142" s="693"/>
      <c r="I142" s="1899"/>
      <c r="J142" s="414"/>
      <c r="L142" s="263"/>
      <c r="M142" s="1896"/>
      <c r="O142" s="263"/>
      <c r="P142" s="415"/>
      <c r="S142" s="263"/>
      <c r="T142" s="368">
        <v>1.0</v>
      </c>
      <c r="X142" s="263"/>
      <c r="Y142" s="368" t="str">
        <f t="shared" si="16"/>
        <v>#DIV/0!</v>
      </c>
      <c r="AB142" s="263"/>
      <c r="AC142" s="415" t="str">
        <f t="shared" si="12"/>
        <v>#DIV/0!</v>
      </c>
      <c r="AF142" s="263"/>
      <c r="AG142" s="1891">
        <v>1.0</v>
      </c>
      <c r="AI142" s="263"/>
      <c r="AJ142" s="415" t="str">
        <f t="shared" si="13"/>
        <v>#DIV/0!</v>
      </c>
      <c r="AM142" s="263"/>
      <c r="AN142" s="31"/>
      <c r="AO142" s="31"/>
      <c r="AP142" s="1611"/>
      <c r="AQ142" s="1612"/>
      <c r="AR142" s="1897">
        <f t="shared" si="17"/>
        <v>0</v>
      </c>
      <c r="AS142" s="419" t="str">
        <f t="shared" si="15"/>
        <v>#DIV/0!</v>
      </c>
      <c r="AT142" s="31"/>
      <c r="AU142" s="31"/>
      <c r="AV142" s="31"/>
      <c r="AW142" s="31"/>
      <c r="AX142" s="31"/>
      <c r="AY142" s="31"/>
      <c r="BG142" s="31"/>
      <c r="BH142" s="31"/>
      <c r="BI142" s="31"/>
      <c r="BJ142" s="31"/>
      <c r="BK142" s="34"/>
      <c r="BL142" s="34"/>
    </row>
    <row r="143" ht="12.75" hidden="1" customHeight="1">
      <c r="A143" s="1898"/>
      <c r="B143" s="693"/>
      <c r="C143" s="424" t="s">
        <v>653</v>
      </c>
      <c r="D143" s="693"/>
      <c r="E143" s="693"/>
      <c r="F143" s="693"/>
      <c r="G143" s="693"/>
      <c r="H143" s="693"/>
      <c r="I143" s="1899"/>
      <c r="J143" s="414"/>
      <c r="L143" s="263"/>
      <c r="M143" s="1896"/>
      <c r="O143" s="263"/>
      <c r="P143" s="422"/>
      <c r="S143" s="263"/>
      <c r="T143" s="368">
        <v>1.0</v>
      </c>
      <c r="X143" s="263"/>
      <c r="Y143" s="368" t="str">
        <f t="shared" si="16"/>
        <v>#DIV/0!</v>
      </c>
      <c r="AB143" s="263"/>
      <c r="AC143" s="415" t="str">
        <f t="shared" si="12"/>
        <v>#DIV/0!</v>
      </c>
      <c r="AF143" s="263"/>
      <c r="AG143" s="1891">
        <v>1.0</v>
      </c>
      <c r="AI143" s="263"/>
      <c r="AJ143" s="415" t="str">
        <f t="shared" si="13"/>
        <v>#DIV/0!</v>
      </c>
      <c r="AM143" s="263"/>
      <c r="AN143" s="31"/>
      <c r="AO143" s="31"/>
      <c r="AP143" s="1611"/>
      <c r="AQ143" s="1612"/>
      <c r="AR143" s="1897">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1900"/>
      <c r="B144" s="425"/>
      <c r="C144" s="424" t="s">
        <v>653</v>
      </c>
      <c r="D144" s="425"/>
      <c r="E144" s="425"/>
      <c r="F144" s="425"/>
      <c r="G144" s="425"/>
      <c r="H144" s="425"/>
      <c r="I144" s="426"/>
      <c r="J144" s="414"/>
      <c r="L144" s="263"/>
      <c r="M144" s="1896"/>
      <c r="O144" s="263"/>
      <c r="P144" s="415"/>
      <c r="S144" s="263"/>
      <c r="T144" s="368">
        <v>1.0</v>
      </c>
      <c r="X144" s="263"/>
      <c r="Y144" s="368" t="str">
        <f t="shared" si="16"/>
        <v>#DIV/0!</v>
      </c>
      <c r="AB144" s="263"/>
      <c r="AC144" s="415" t="str">
        <f t="shared" si="12"/>
        <v>#DIV/0!</v>
      </c>
      <c r="AF144" s="263"/>
      <c r="AG144" s="1891">
        <v>1.0</v>
      </c>
      <c r="AI144" s="263"/>
      <c r="AJ144" s="415" t="str">
        <f t="shared" si="13"/>
        <v>#DIV/0!</v>
      </c>
      <c r="AM144" s="263"/>
      <c r="AN144" s="31"/>
      <c r="AO144" s="31"/>
      <c r="AP144" s="1611"/>
      <c r="AQ144" s="1612"/>
      <c r="AR144" s="1897">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1900"/>
      <c r="B145" s="425"/>
      <c r="C145" s="424" t="s">
        <v>653</v>
      </c>
      <c r="D145" s="425"/>
      <c r="E145" s="425"/>
      <c r="F145" s="425"/>
      <c r="G145" s="425"/>
      <c r="H145" s="425"/>
      <c r="I145" s="426"/>
      <c r="J145" s="414"/>
      <c r="L145" s="263"/>
      <c r="M145" s="1896"/>
      <c r="O145" s="263"/>
      <c r="P145" s="422"/>
      <c r="S145" s="263"/>
      <c r="T145" s="368">
        <v>1.0</v>
      </c>
      <c r="X145" s="263"/>
      <c r="Y145" s="368" t="str">
        <f t="shared" si="16"/>
        <v>#DIV/0!</v>
      </c>
      <c r="AB145" s="263"/>
      <c r="AC145" s="415" t="str">
        <f t="shared" si="12"/>
        <v>#DIV/0!</v>
      </c>
      <c r="AF145" s="263"/>
      <c r="AG145" s="1891">
        <v>1.0</v>
      </c>
      <c r="AI145" s="263"/>
      <c r="AJ145" s="415" t="str">
        <f t="shared" si="13"/>
        <v>#DIV/0!</v>
      </c>
      <c r="AM145" s="263"/>
      <c r="AN145" s="31"/>
      <c r="AO145" s="31"/>
      <c r="AP145" s="1611"/>
      <c r="AQ145" s="1612"/>
      <c r="AR145" s="1897">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1900"/>
      <c r="B146" s="425"/>
      <c r="C146" s="424" t="s">
        <v>653</v>
      </c>
      <c r="D146" s="425"/>
      <c r="E146" s="425"/>
      <c r="F146" s="425"/>
      <c r="G146" s="425"/>
      <c r="H146" s="425"/>
      <c r="I146" s="426"/>
      <c r="J146" s="414"/>
      <c r="L146" s="263"/>
      <c r="M146" s="1896"/>
      <c r="O146" s="263"/>
      <c r="P146" s="422"/>
      <c r="S146" s="263"/>
      <c r="T146" s="368">
        <v>1.0</v>
      </c>
      <c r="X146" s="263"/>
      <c r="Y146" s="368" t="str">
        <f t="shared" si="16"/>
        <v>#DIV/0!</v>
      </c>
      <c r="AB146" s="263"/>
      <c r="AC146" s="415" t="str">
        <f t="shared" si="12"/>
        <v>#DIV/0!</v>
      </c>
      <c r="AF146" s="263"/>
      <c r="AG146" s="1891">
        <v>1.0</v>
      </c>
      <c r="AI146" s="263"/>
      <c r="AJ146" s="415" t="str">
        <f t="shared" si="13"/>
        <v>#DIV/0!</v>
      </c>
      <c r="AM146" s="263"/>
      <c r="AN146" s="31"/>
      <c r="AO146" s="31"/>
      <c r="AP146" s="1611"/>
      <c r="AQ146" s="1612"/>
      <c r="AR146" s="1897">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1900"/>
      <c r="B147" s="425"/>
      <c r="C147" s="424" t="s">
        <v>653</v>
      </c>
      <c r="D147" s="425"/>
      <c r="E147" s="425"/>
      <c r="F147" s="425"/>
      <c r="G147" s="425"/>
      <c r="H147" s="425"/>
      <c r="I147" s="426"/>
      <c r="J147" s="414"/>
      <c r="L147" s="263"/>
      <c r="M147" s="1896"/>
      <c r="O147" s="263"/>
      <c r="P147" s="422"/>
      <c r="S147" s="263"/>
      <c r="T147" s="368">
        <v>1.0</v>
      </c>
      <c r="X147" s="263"/>
      <c r="Y147" s="368" t="str">
        <f t="shared" si="16"/>
        <v>#DIV/0!</v>
      </c>
      <c r="AB147" s="263"/>
      <c r="AC147" s="415" t="str">
        <f t="shared" si="12"/>
        <v>#DIV/0!</v>
      </c>
      <c r="AF147" s="263"/>
      <c r="AG147" s="1891">
        <v>1.0</v>
      </c>
      <c r="AI147" s="263"/>
      <c r="AJ147" s="415" t="str">
        <f t="shared" si="13"/>
        <v>#DIV/0!</v>
      </c>
      <c r="AM147" s="263"/>
      <c r="AN147" s="31"/>
      <c r="AO147" s="31"/>
      <c r="AP147" s="1611"/>
      <c r="AQ147" s="1612"/>
      <c r="AR147" s="1897">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1901"/>
      <c r="B148" s="1902"/>
      <c r="C148" s="424" t="s">
        <v>653</v>
      </c>
      <c r="D148" s="1902"/>
      <c r="E148" s="1902"/>
      <c r="F148" s="1902"/>
      <c r="G148" s="1902"/>
      <c r="H148" s="1902"/>
      <c r="I148" s="1903"/>
      <c r="J148" s="414"/>
      <c r="L148" s="263"/>
      <c r="M148" s="1896"/>
      <c r="O148" s="263"/>
      <c r="P148" s="422"/>
      <c r="S148" s="263"/>
      <c r="T148" s="368">
        <v>1.0</v>
      </c>
      <c r="X148" s="263"/>
      <c r="Y148" s="368" t="str">
        <f t="shared" si="16"/>
        <v>#DIV/0!</v>
      </c>
      <c r="AB148" s="263"/>
      <c r="AC148" s="415" t="str">
        <f t="shared" si="12"/>
        <v>#DIV/0!</v>
      </c>
      <c r="AF148" s="263"/>
      <c r="AG148" s="1891">
        <v>1.0</v>
      </c>
      <c r="AI148" s="263"/>
      <c r="AJ148" s="415" t="str">
        <f t="shared" si="13"/>
        <v>#DIV/0!</v>
      </c>
      <c r="AM148" s="263"/>
      <c r="AN148" s="31"/>
      <c r="AO148" s="31"/>
      <c r="AP148" s="1611"/>
      <c r="AQ148" s="1612"/>
      <c r="AR148" s="1897">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1901"/>
      <c r="B149" s="1902"/>
      <c r="C149" s="424" t="s">
        <v>653</v>
      </c>
      <c r="D149" s="1902"/>
      <c r="E149" s="1902"/>
      <c r="F149" s="1902"/>
      <c r="G149" s="1902"/>
      <c r="H149" s="1902"/>
      <c r="I149" s="1903"/>
      <c r="J149" s="414"/>
      <c r="L149" s="263"/>
      <c r="M149" s="1896"/>
      <c r="O149" s="263"/>
      <c r="P149" s="422"/>
      <c r="S149" s="263"/>
      <c r="T149" s="368">
        <v>1.0</v>
      </c>
      <c r="X149" s="263"/>
      <c r="Y149" s="368" t="str">
        <f t="shared" si="16"/>
        <v>#DIV/0!</v>
      </c>
      <c r="AB149" s="263"/>
      <c r="AC149" s="415" t="str">
        <f t="shared" si="12"/>
        <v>#DIV/0!</v>
      </c>
      <c r="AF149" s="263"/>
      <c r="AG149" s="1891">
        <v>1.0</v>
      </c>
      <c r="AI149" s="263"/>
      <c r="AJ149" s="415" t="str">
        <f t="shared" si="13"/>
        <v>#DIV/0!</v>
      </c>
      <c r="AM149" s="263"/>
      <c r="AN149" s="31"/>
      <c r="AO149" s="31"/>
      <c r="AP149" s="1611"/>
      <c r="AQ149" s="1612"/>
      <c r="AR149" s="1897">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1901"/>
      <c r="B150" s="1902"/>
      <c r="C150" s="424" t="s">
        <v>653</v>
      </c>
      <c r="D150" s="1902"/>
      <c r="E150" s="1902"/>
      <c r="F150" s="1902"/>
      <c r="G150" s="1902"/>
      <c r="H150" s="1902"/>
      <c r="I150" s="1903"/>
      <c r="J150" s="414"/>
      <c r="L150" s="263"/>
      <c r="M150" s="1896"/>
      <c r="O150" s="263"/>
      <c r="P150" s="422"/>
      <c r="S150" s="263"/>
      <c r="T150" s="368">
        <v>1.0</v>
      </c>
      <c r="X150" s="263"/>
      <c r="Y150" s="368" t="str">
        <f t="shared" si="16"/>
        <v>#DIV/0!</v>
      </c>
      <c r="AB150" s="263"/>
      <c r="AC150" s="415" t="str">
        <f t="shared" si="12"/>
        <v>#DIV/0!</v>
      </c>
      <c r="AF150" s="263"/>
      <c r="AG150" s="1891">
        <v>1.0</v>
      </c>
      <c r="AI150" s="263"/>
      <c r="AJ150" s="415" t="str">
        <f t="shared" si="13"/>
        <v>#DIV/0!</v>
      </c>
      <c r="AM150" s="263"/>
      <c r="AN150" s="31"/>
      <c r="AO150" s="31"/>
      <c r="AP150" s="1611"/>
      <c r="AQ150" s="1612"/>
      <c r="AR150" s="1897">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1901"/>
      <c r="B151" s="1902"/>
      <c r="C151" s="424" t="s">
        <v>653</v>
      </c>
      <c r="D151" s="1902"/>
      <c r="E151" s="1902"/>
      <c r="F151" s="1902"/>
      <c r="G151" s="1902"/>
      <c r="H151" s="1902"/>
      <c r="I151" s="1903"/>
      <c r="J151" s="414"/>
      <c r="L151" s="263"/>
      <c r="M151" s="1896"/>
      <c r="O151" s="263"/>
      <c r="P151" s="422"/>
      <c r="S151" s="263"/>
      <c r="T151" s="368">
        <v>1.0</v>
      </c>
      <c r="X151" s="263"/>
      <c r="Y151" s="368" t="str">
        <f t="shared" si="16"/>
        <v>#DIV/0!</v>
      </c>
      <c r="AB151" s="263"/>
      <c r="AC151" s="415" t="str">
        <f t="shared" si="12"/>
        <v>#DIV/0!</v>
      </c>
      <c r="AF151" s="263"/>
      <c r="AG151" s="1891">
        <v>1.0</v>
      </c>
      <c r="AI151" s="263"/>
      <c r="AJ151" s="415" t="str">
        <f t="shared" si="13"/>
        <v>#DIV/0!</v>
      </c>
      <c r="AM151" s="263"/>
      <c r="AN151" s="31"/>
      <c r="AO151" s="31"/>
      <c r="AP151" s="1611"/>
      <c r="AQ151" s="1612"/>
      <c r="AR151" s="1897">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1904"/>
      <c r="B152" s="1905"/>
      <c r="C152" s="427" t="s">
        <v>653</v>
      </c>
      <c r="D152" s="1905"/>
      <c r="E152" s="1905"/>
      <c r="F152" s="1905"/>
      <c r="G152" s="1905"/>
      <c r="H152" s="1905"/>
      <c r="I152" s="1906"/>
      <c r="J152" s="287"/>
      <c r="K152" s="251"/>
      <c r="L152" s="261"/>
      <c r="M152" s="286"/>
      <c r="N152" s="251"/>
      <c r="O152" s="261"/>
      <c r="P152" s="1907"/>
      <c r="Q152" s="251"/>
      <c r="R152" s="251"/>
      <c r="S152" s="261"/>
      <c r="T152" s="375">
        <v>1.0</v>
      </c>
      <c r="U152" s="251"/>
      <c r="V152" s="251"/>
      <c r="W152" s="251"/>
      <c r="X152" s="261"/>
      <c r="Y152" s="375"/>
      <c r="Z152" s="251"/>
      <c r="AA152" s="251"/>
      <c r="AB152" s="261"/>
      <c r="AC152" s="415"/>
      <c r="AF152" s="263"/>
      <c r="AG152" s="1891"/>
      <c r="AI152" s="263"/>
      <c r="AJ152" s="415">
        <f t="shared" si="13"/>
        <v>0</v>
      </c>
      <c r="AM152" s="263"/>
      <c r="AN152" s="31"/>
      <c r="AO152" s="31"/>
      <c r="AP152" s="1622"/>
      <c r="AQ152" s="1623"/>
      <c r="AR152" s="1908">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201</v>
      </c>
      <c r="AI153" s="298"/>
      <c r="AJ153" s="299" t="str">
        <f>SUM(AJ136:AM152)</f>
        <v>#DIV/0!</v>
      </c>
      <c r="AK153" s="85"/>
      <c r="AL153" s="85"/>
      <c r="AM153" s="86"/>
      <c r="AN153" s="31"/>
      <c r="AO153" s="31"/>
      <c r="AP153" s="31"/>
      <c r="AQ153" s="31"/>
      <c r="AR153" s="31"/>
      <c r="AS153" s="31"/>
      <c r="AT153" s="31"/>
      <c r="AU153" s="31"/>
      <c r="AV153" s="436"/>
      <c r="AW153" s="436"/>
      <c r="AX153" s="1629">
        <f>'OPI Terreno Rta'!AG116*'OPI Terreno Rta'!C116</f>
        <v>0</v>
      </c>
      <c r="AY153" s="483"/>
      <c r="AZ153" s="436" t="s">
        <v>654</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202</v>
      </c>
      <c r="B155" s="440"/>
      <c r="C155" s="440"/>
      <c r="D155" s="440"/>
      <c r="E155" s="440"/>
      <c r="F155" s="440"/>
      <c r="G155" s="440"/>
      <c r="H155" s="440"/>
      <c r="I155" s="440"/>
      <c r="J155" s="440"/>
      <c r="K155" s="34"/>
      <c r="L155" s="1909"/>
      <c r="X155" s="263"/>
      <c r="Y155" s="442"/>
      <c r="Z155" s="387"/>
      <c r="AA155" s="1910" t="s">
        <v>203</v>
      </c>
      <c r="AB155" s="85"/>
      <c r="AC155" s="85"/>
      <c r="AD155" s="85"/>
      <c r="AE155" s="85"/>
      <c r="AF155" s="85"/>
      <c r="AG155" s="85"/>
      <c r="AH155" s="85"/>
      <c r="AI155" s="86"/>
      <c r="AJ155" s="443" t="str">
        <f>SUM(AJ119,AJ131,AJ153)</f>
        <v>#REF!</v>
      </c>
      <c r="AK155" s="85"/>
      <c r="AL155" s="85"/>
      <c r="AM155" s="86"/>
      <c r="AN155" s="31"/>
      <c r="AO155" s="31"/>
      <c r="AP155" s="1911"/>
      <c r="AQ155" s="1633"/>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205</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641" t="s">
        <v>206</v>
      </c>
      <c r="G157" s="1912"/>
      <c r="P157" s="263"/>
      <c r="Q157" s="451" t="s">
        <v>207</v>
      </c>
      <c r="R157" s="452"/>
      <c r="S157" s="452"/>
      <c r="T157" s="452"/>
      <c r="U157" s="452"/>
      <c r="V157" s="452"/>
      <c r="W157" s="453"/>
      <c r="X157" s="453"/>
      <c r="Y157" s="396"/>
      <c r="Z157" s="396"/>
      <c r="AA157" s="396"/>
      <c r="AB157" s="396"/>
      <c r="AC157" s="396"/>
      <c r="AD157" s="396"/>
      <c r="AE157" s="396"/>
      <c r="AF157" s="454"/>
      <c r="AG157" s="396"/>
      <c r="AH157" s="455"/>
      <c r="AI157" s="1913" t="s">
        <v>656</v>
      </c>
      <c r="AJ157" s="1914"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648" t="s">
        <v>210</v>
      </c>
      <c r="G158" s="1912"/>
      <c r="P158" s="263"/>
      <c r="Q158" s="463"/>
      <c r="R158" s="464"/>
      <c r="S158" s="464"/>
      <c r="T158" s="464"/>
      <c r="U158" s="464"/>
      <c r="V158" s="464"/>
      <c r="W158" s="464"/>
      <c r="X158" s="464"/>
      <c r="Y158" s="34"/>
      <c r="Z158" s="34"/>
      <c r="AA158" s="34"/>
      <c r="AB158" s="34"/>
      <c r="AC158" s="34"/>
      <c r="AD158" s="34"/>
      <c r="AE158" s="34"/>
      <c r="AF158" s="305"/>
      <c r="AG158" s="34"/>
      <c r="AH158" s="34"/>
      <c r="AI158" s="1915" t="s">
        <v>657</v>
      </c>
      <c r="AJ158" s="1916"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651" t="s">
        <v>658</v>
      </c>
      <c r="Q159" s="470"/>
      <c r="R159" s="34"/>
      <c r="S159" s="34"/>
      <c r="T159" s="34"/>
      <c r="U159" s="34"/>
      <c r="V159" s="34"/>
      <c r="W159" s="34"/>
      <c r="X159" s="34"/>
      <c r="Y159" s="34"/>
      <c r="Z159" s="34"/>
      <c r="AA159" s="34"/>
      <c r="AB159" s="34"/>
      <c r="AC159" s="34"/>
      <c r="AD159" s="34"/>
      <c r="AE159" s="34"/>
      <c r="AF159" s="305"/>
      <c r="AG159" s="34"/>
      <c r="AH159" s="103"/>
      <c r="AI159" s="471"/>
      <c r="AJ159" s="1917"/>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696</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658"/>
      <c r="AI162" s="1659"/>
      <c r="AN162" s="31"/>
      <c r="AO162" s="31"/>
      <c r="AP162" s="1918"/>
      <c r="AQ162" s="1633"/>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651"/>
      <c r="B163" s="1651"/>
      <c r="C163" s="1651"/>
      <c r="D163" s="1651"/>
      <c r="E163" s="1651"/>
      <c r="F163" s="1651"/>
      <c r="G163" s="1651"/>
      <c r="H163" s="1651"/>
      <c r="I163" s="1651"/>
      <c r="J163" s="1651"/>
      <c r="K163" s="1651"/>
      <c r="L163" s="1651"/>
      <c r="M163" s="1651"/>
      <c r="N163" s="1651"/>
      <c r="O163" s="1651"/>
      <c r="P163" s="1651"/>
      <c r="Q163" s="1919"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651"/>
      <c r="B164" s="1651"/>
      <c r="C164" s="1651"/>
      <c r="D164" s="1651"/>
      <c r="E164" s="1651"/>
      <c r="F164" s="1651"/>
      <c r="G164" s="1651"/>
      <c r="H164" s="1651"/>
      <c r="I164" s="1651"/>
      <c r="J164" s="1651"/>
      <c r="K164" s="1651"/>
      <c r="L164" s="1651"/>
      <c r="M164" s="1651"/>
      <c r="N164" s="1651"/>
      <c r="O164" s="1651"/>
      <c r="P164" s="1651"/>
      <c r="Q164" s="1920" t="s">
        <v>219</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662"/>
      <c r="B165" s="1662"/>
      <c r="C165" s="1662"/>
      <c r="D165" s="1662"/>
      <c r="E165" s="1662"/>
      <c r="F165" s="1662"/>
      <c r="G165" s="1662"/>
      <c r="H165" s="1662"/>
      <c r="I165" s="1662"/>
      <c r="J165" s="1662"/>
      <c r="K165" s="1662"/>
      <c r="L165" s="1662"/>
      <c r="M165" s="1662"/>
      <c r="N165" s="1662"/>
      <c r="O165" s="1662"/>
      <c r="P165" s="1662"/>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663"/>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220</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222</v>
      </c>
      <c r="O167" s="34"/>
      <c r="P167" s="493"/>
      <c r="R167" s="493"/>
      <c r="S167" s="493"/>
      <c r="T167" s="90" t="s">
        <v>223</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664"/>
      <c r="B168" s="1664"/>
      <c r="C168" s="34"/>
      <c r="D168" s="34"/>
      <c r="E168" s="1921"/>
      <c r="F168" s="1922"/>
      <c r="G168" s="1922"/>
      <c r="H168" s="1667"/>
      <c r="I168" s="1667"/>
      <c r="J168" s="1667"/>
      <c r="K168" s="1668"/>
      <c r="L168" s="1668"/>
      <c r="M168" s="1668"/>
      <c r="N168" s="34"/>
      <c r="O168" s="1669"/>
      <c r="P168" s="1669"/>
      <c r="Q168" s="1670"/>
      <c r="R168" s="1670"/>
      <c r="S168" s="1670"/>
      <c r="T168" s="1670"/>
      <c r="U168" s="1670"/>
      <c r="V168" s="1670"/>
      <c r="W168" s="1670"/>
      <c r="X168" s="1670"/>
      <c r="Y168" s="1670"/>
      <c r="Z168" s="1670"/>
      <c r="AA168" s="1670"/>
      <c r="AB168" s="1670"/>
      <c r="AC168" s="1670"/>
      <c r="AD168" s="1670"/>
      <c r="AE168" s="1670"/>
      <c r="AF168" s="1670"/>
      <c r="AG168" s="1670"/>
      <c r="AH168" s="1670"/>
      <c r="AI168" s="1670"/>
      <c r="AJ168" s="1670"/>
      <c r="AK168" s="1670"/>
      <c r="AL168" s="1670"/>
      <c r="AM168" s="1670"/>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1811" t="s">
        <v>224</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1923" t="s">
        <v>225</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226</v>
      </c>
      <c r="B172" s="501"/>
      <c r="C172" s="502"/>
      <c r="D172" s="502"/>
      <c r="E172" s="503"/>
      <c r="F172" s="503"/>
      <c r="G172" s="503"/>
      <c r="H172" s="503"/>
      <c r="I172" s="503"/>
      <c r="J172" s="504"/>
      <c r="K172" s="1924"/>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227</v>
      </c>
      <c r="B173" s="501"/>
      <c r="C173" s="502"/>
      <c r="D173" s="502"/>
      <c r="E173" s="503"/>
      <c r="F173" s="503"/>
      <c r="G173" s="503"/>
      <c r="H173" s="503"/>
      <c r="I173" s="503"/>
      <c r="J173" s="504"/>
      <c r="K173" s="1925"/>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228</v>
      </c>
      <c r="B174" s="501"/>
      <c r="C174" s="502"/>
      <c r="D174" s="502"/>
      <c r="E174" s="503"/>
      <c r="F174" s="503"/>
      <c r="G174" s="503"/>
      <c r="H174" s="503"/>
      <c r="I174" s="503"/>
      <c r="J174" s="504"/>
      <c r="K174" s="1925"/>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1926" t="s">
        <v>229</v>
      </c>
      <c r="B175" s="501"/>
      <c r="C175" s="502"/>
      <c r="D175" s="502"/>
      <c r="E175" s="503"/>
      <c r="F175" s="503"/>
      <c r="G175" s="503"/>
      <c r="H175" s="503"/>
      <c r="I175" s="503"/>
      <c r="J175" s="504"/>
      <c r="K175" s="1925"/>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661</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677" t="s">
        <v>662</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232</v>
      </c>
      <c r="D181" s="85"/>
      <c r="E181" s="85"/>
      <c r="F181" s="85"/>
      <c r="G181" s="86"/>
      <c r="H181" s="510" t="s">
        <v>233</v>
      </c>
      <c r="I181" s="85"/>
      <c r="J181" s="85"/>
      <c r="K181" s="85"/>
      <c r="L181" s="85"/>
      <c r="M181" s="85"/>
      <c r="N181" s="86"/>
      <c r="O181" s="510" t="s">
        <v>234</v>
      </c>
      <c r="P181" s="85"/>
      <c r="Q181" s="85"/>
      <c r="R181" s="85"/>
      <c r="S181" s="85"/>
      <c r="T181" s="86"/>
      <c r="U181" s="510" t="s">
        <v>235</v>
      </c>
      <c r="V181" s="86"/>
      <c r="W181" s="510" t="s">
        <v>236</v>
      </c>
      <c r="X181" s="85"/>
      <c r="Y181" s="85"/>
      <c r="Z181" s="85"/>
      <c r="AA181" s="85"/>
      <c r="AB181" s="85"/>
      <c r="AC181" s="85"/>
      <c r="AD181" s="85"/>
      <c r="AE181" s="85"/>
      <c r="AF181" s="85"/>
      <c r="AG181" s="85"/>
      <c r="AH181" s="85"/>
      <c r="AI181" s="86"/>
      <c r="AJ181" s="510" t="s">
        <v>237</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1927" t="str">
        <f t="shared" ref="C182:C186" si="18">+Mercado!C14</f>
        <v>#REF!</v>
      </c>
      <c r="D182" s="567"/>
      <c r="E182" s="567"/>
      <c r="F182" s="567"/>
      <c r="G182" s="512"/>
      <c r="H182" s="514" t="str">
        <f t="shared" ref="H182:H186" si="19">+Mercado!F14</f>
        <v>#REF!</v>
      </c>
      <c r="I182" s="255"/>
      <c r="J182" s="255"/>
      <c r="K182" s="255"/>
      <c r="L182" s="255"/>
      <c r="M182" s="255"/>
      <c r="N182" s="253"/>
      <c r="O182" s="1683" t="str">
        <f t="shared" ref="O182:O186" si="20">+Mercado!E14</f>
        <v>#REF!</v>
      </c>
      <c r="P182" s="567"/>
      <c r="Q182" s="567"/>
      <c r="R182" s="567"/>
      <c r="S182" s="567"/>
      <c r="T182" s="512"/>
      <c r="U182" s="1928">
        <v>0.0</v>
      </c>
      <c r="V182" s="253"/>
      <c r="W182" s="1929" t="str">
        <f>+Mercado!G14</f>
        <v>#REF!</v>
      </c>
      <c r="X182" s="294"/>
      <c r="Y182" s="294"/>
      <c r="Z182" s="294"/>
      <c r="AA182" s="294"/>
      <c r="AB182" s="294"/>
      <c r="AC182" s="294"/>
      <c r="AD182" s="294"/>
      <c r="AE182" s="294"/>
      <c r="AF182" s="294"/>
      <c r="AG182" s="294"/>
      <c r="AH182" s="294"/>
      <c r="AI182" s="458"/>
      <c r="AJ182" s="1930" t="str">
        <f t="shared" ref="AJ182:AJ186" si="21">UPPER(CONCATENATE(Mercado!L14,", ",Mercado!M14))</f>
        <v>#REF!</v>
      </c>
      <c r="AK182" s="255"/>
      <c r="AL182" s="255"/>
      <c r="AM182" s="253"/>
      <c r="AN182" s="31"/>
      <c r="AO182" s="522"/>
      <c r="AP182" s="520"/>
      <c r="AQ182" s="520"/>
      <c r="AR182" s="520" t="s">
        <v>240</v>
      </c>
      <c r="AS182" s="521" t="s">
        <v>239</v>
      </c>
      <c r="AT182" s="522"/>
      <c r="AU182" s="520" t="s">
        <v>697</v>
      </c>
      <c r="AV182" s="520" t="s">
        <v>239</v>
      </c>
      <c r="AW182" s="520"/>
      <c r="AX182" s="520" t="s">
        <v>240</v>
      </c>
      <c r="AY182" s="521" t="s">
        <v>239</v>
      </c>
      <c r="AZ182" s="31"/>
      <c r="BA182" s="31"/>
      <c r="BB182" s="31"/>
      <c r="BC182" s="31"/>
      <c r="BD182" s="31"/>
      <c r="BE182" s="31"/>
      <c r="BF182" s="31"/>
      <c r="BG182" s="31"/>
      <c r="BH182" s="31"/>
      <c r="BI182" s="31"/>
      <c r="BJ182" s="31"/>
      <c r="BK182" s="34"/>
      <c r="BL182" s="34"/>
    </row>
    <row r="183" ht="36.75" customHeight="1">
      <c r="A183" s="523">
        <v>2.0</v>
      </c>
      <c r="B183" s="524"/>
      <c r="C183" s="1931" t="str">
        <f t="shared" si="18"/>
        <v>#REF!</v>
      </c>
      <c r="D183" s="582"/>
      <c r="E183" s="582"/>
      <c r="F183" s="582"/>
      <c r="G183" s="524"/>
      <c r="H183" s="1691" t="str">
        <f t="shared" si="19"/>
        <v>#REF!</v>
      </c>
      <c r="I183" s="582"/>
      <c r="J183" s="582"/>
      <c r="K183" s="582"/>
      <c r="L183" s="582"/>
      <c r="M183" s="582"/>
      <c r="N183" s="524"/>
      <c r="O183" s="1692" t="str">
        <f t="shared" si="20"/>
        <v>#REF!</v>
      </c>
      <c r="P183" s="582"/>
      <c r="Q183" s="582"/>
      <c r="R183" s="582"/>
      <c r="S183" s="582"/>
      <c r="T183" s="524"/>
      <c r="U183" s="1932">
        <v>0.0</v>
      </c>
      <c r="V183" s="524"/>
      <c r="W183" s="1933" t="str">
        <f t="shared" ref="W183:W184" si="22">+PROPER(Mercado!G15)</f>
        <v>#REF!</v>
      </c>
      <c r="X183" s="582"/>
      <c r="Y183" s="582"/>
      <c r="Z183" s="582"/>
      <c r="AA183" s="582"/>
      <c r="AB183" s="582"/>
      <c r="AC183" s="582"/>
      <c r="AD183" s="582"/>
      <c r="AE183" s="582"/>
      <c r="AF183" s="582"/>
      <c r="AG183" s="582"/>
      <c r="AH183" s="582"/>
      <c r="AI183" s="524"/>
      <c r="AJ183" s="1934" t="str">
        <f t="shared" si="21"/>
        <v>#REF!</v>
      </c>
      <c r="AK183" s="661"/>
      <c r="AL183" s="661"/>
      <c r="AM183" s="662"/>
      <c r="AN183" s="31"/>
      <c r="AO183" s="529" t="s">
        <v>170</v>
      </c>
      <c r="AP183" s="526"/>
      <c r="AQ183" s="527"/>
      <c r="AR183" s="526" t="str">
        <f>+AC116</f>
        <v>#REF!</v>
      </c>
      <c r="AS183" s="528" t="str">
        <f t="shared" ref="AS183:AS185" si="23">+AR183/$AR$185</f>
        <v>#REF!</v>
      </c>
      <c r="AT183" s="529" t="s">
        <v>241</v>
      </c>
      <c r="AU183" s="526" t="str">
        <f>+AJ119</f>
        <v>#REF!</v>
      </c>
      <c r="AV183" s="527" t="str">
        <f t="shared" ref="AV183:AV186" si="24">+AU183/$AU$186</f>
        <v>#REF!</v>
      </c>
      <c r="AW183" s="529" t="s">
        <v>241</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1931" t="str">
        <f t="shared" si="18"/>
        <v>#REF!</v>
      </c>
      <c r="D184" s="582"/>
      <c r="E184" s="582"/>
      <c r="F184" s="582"/>
      <c r="G184" s="524"/>
      <c r="H184" s="1691" t="str">
        <f t="shared" si="19"/>
        <v>#REF!</v>
      </c>
      <c r="I184" s="582"/>
      <c r="J184" s="582"/>
      <c r="K184" s="582"/>
      <c r="L184" s="582"/>
      <c r="M184" s="582"/>
      <c r="N184" s="524"/>
      <c r="O184" s="1692" t="str">
        <f t="shared" si="20"/>
        <v>#REF!</v>
      </c>
      <c r="P184" s="582"/>
      <c r="Q184" s="582"/>
      <c r="R184" s="582"/>
      <c r="S184" s="582"/>
      <c r="T184" s="524"/>
      <c r="U184" s="1932">
        <v>0.0</v>
      </c>
      <c r="V184" s="524"/>
      <c r="W184" s="1933" t="str">
        <f t="shared" si="22"/>
        <v>#REF!</v>
      </c>
      <c r="X184" s="582"/>
      <c r="Y184" s="582"/>
      <c r="Z184" s="582"/>
      <c r="AA184" s="582"/>
      <c r="AB184" s="582"/>
      <c r="AC184" s="582"/>
      <c r="AD184" s="582"/>
      <c r="AE184" s="582"/>
      <c r="AF184" s="582"/>
      <c r="AG184" s="582"/>
      <c r="AH184" s="582"/>
      <c r="AI184" s="524"/>
      <c r="AJ184" s="1935" t="str">
        <f t="shared" si="21"/>
        <v>#REF!</v>
      </c>
      <c r="AK184" s="582"/>
      <c r="AL184" s="582"/>
      <c r="AM184" s="524"/>
      <c r="AN184" s="31"/>
      <c r="AO184" s="529" t="s">
        <v>242</v>
      </c>
      <c r="AP184" s="530"/>
      <c r="AQ184" s="527"/>
      <c r="AR184" s="531" t="str">
        <f>+AL206-AR183</f>
        <v>#REF!</v>
      </c>
      <c r="AS184" s="528" t="str">
        <f t="shared" si="23"/>
        <v>#REF!</v>
      </c>
      <c r="AT184" s="1695" t="s">
        <v>243</v>
      </c>
      <c r="AU184" s="530" t="str">
        <f>+AJ131</f>
        <v>#DIV/0!</v>
      </c>
      <c r="AV184" s="527" t="str">
        <f t="shared" si="24"/>
        <v>#DIV/0!</v>
      </c>
      <c r="AW184" s="1695" t="s">
        <v>243</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1931" t="str">
        <f t="shared" si="18"/>
        <v>#REF!</v>
      </c>
      <c r="D185" s="582"/>
      <c r="E185" s="582"/>
      <c r="F185" s="582"/>
      <c r="G185" s="524"/>
      <c r="H185" s="1691" t="str">
        <f t="shared" si="19"/>
        <v>#REF!</v>
      </c>
      <c r="I185" s="582"/>
      <c r="J185" s="582"/>
      <c r="K185" s="582"/>
      <c r="L185" s="582"/>
      <c r="M185" s="582"/>
      <c r="N185" s="524"/>
      <c r="O185" s="1692" t="str">
        <f t="shared" si="20"/>
        <v>#REF!</v>
      </c>
      <c r="P185" s="582"/>
      <c r="Q185" s="582"/>
      <c r="R185" s="582"/>
      <c r="S185" s="582"/>
      <c r="T185" s="524"/>
      <c r="U185" s="1932">
        <v>0.0</v>
      </c>
      <c r="V185" s="524"/>
      <c r="W185" s="1933" t="str">
        <f t="shared" ref="W185:W186" si="26">+Mercado!G17</f>
        <v>#REF!</v>
      </c>
      <c r="X185" s="582"/>
      <c r="Y185" s="582"/>
      <c r="Z185" s="582"/>
      <c r="AA185" s="582"/>
      <c r="AB185" s="582"/>
      <c r="AC185" s="582"/>
      <c r="AD185" s="582"/>
      <c r="AE185" s="582"/>
      <c r="AF185" s="582"/>
      <c r="AG185" s="582"/>
      <c r="AH185" s="582"/>
      <c r="AI185" s="524"/>
      <c r="AJ185" s="1935" t="str">
        <f t="shared" si="21"/>
        <v>#REF!</v>
      </c>
      <c r="AK185" s="582"/>
      <c r="AL185" s="582"/>
      <c r="AM185" s="524"/>
      <c r="AN185" s="31"/>
      <c r="AO185" s="546" t="s">
        <v>244</v>
      </c>
      <c r="AP185" s="533"/>
      <c r="AQ185" s="534"/>
      <c r="AR185" s="535" t="str">
        <f>SUM(AR183:AR184)</f>
        <v>#REF!</v>
      </c>
      <c r="AS185" s="536" t="str">
        <f t="shared" si="23"/>
        <v>#REF!</v>
      </c>
      <c r="AT185" s="537" t="s">
        <v>245</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1936" t="str">
        <f t="shared" si="18"/>
        <v>#REF!</v>
      </c>
      <c r="D186" s="1700"/>
      <c r="E186" s="1700"/>
      <c r="F186" s="1700"/>
      <c r="G186" s="745"/>
      <c r="H186" s="1701" t="str">
        <f t="shared" si="19"/>
        <v>#REF!</v>
      </c>
      <c r="I186" s="1700"/>
      <c r="J186" s="1700"/>
      <c r="K186" s="1700"/>
      <c r="L186" s="1700"/>
      <c r="M186" s="1700"/>
      <c r="N186" s="745"/>
      <c r="O186" s="1937" t="str">
        <f t="shared" si="20"/>
        <v>#REF!</v>
      </c>
      <c r="P186" s="251"/>
      <c r="Q186" s="251"/>
      <c r="R186" s="251"/>
      <c r="S186" s="251"/>
      <c r="T186" s="261"/>
      <c r="U186" s="1938">
        <v>0.0</v>
      </c>
      <c r="V186" s="261"/>
      <c r="W186" s="1939" t="str">
        <f t="shared" si="26"/>
        <v>#REF!</v>
      </c>
      <c r="X186" s="1700"/>
      <c r="Y186" s="1700"/>
      <c r="Z186" s="1700"/>
      <c r="AA186" s="1700"/>
      <c r="AB186" s="1700"/>
      <c r="AC186" s="1700"/>
      <c r="AD186" s="1700"/>
      <c r="AE186" s="1700"/>
      <c r="AF186" s="1700"/>
      <c r="AG186" s="1700"/>
      <c r="AH186" s="1700"/>
      <c r="AI186" s="745"/>
      <c r="AJ186" s="1940" t="str">
        <f t="shared" si="21"/>
        <v>#REF!</v>
      </c>
      <c r="AK186" s="251"/>
      <c r="AL186" s="251"/>
      <c r="AM186" s="261"/>
      <c r="AN186" s="31"/>
      <c r="AO186" s="31"/>
      <c r="AP186" s="31"/>
      <c r="AQ186" s="31"/>
      <c r="AR186" s="31"/>
      <c r="AS186" s="31"/>
      <c r="AT186" s="546" t="s">
        <v>244</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246</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247</v>
      </c>
      <c r="D189" s="85"/>
      <c r="E189" s="86"/>
      <c r="F189" s="509" t="s">
        <v>248</v>
      </c>
      <c r="G189" s="85"/>
      <c r="H189" s="86"/>
      <c r="I189" s="748" t="s">
        <v>249</v>
      </c>
      <c r="J189" s="85"/>
      <c r="K189" s="85"/>
      <c r="L189" s="86"/>
      <c r="M189" s="748" t="s">
        <v>250</v>
      </c>
      <c r="N189" s="85"/>
      <c r="O189" s="86"/>
      <c r="P189" s="509" t="s">
        <v>251</v>
      </c>
      <c r="Q189" s="86"/>
      <c r="R189" s="509" t="s">
        <v>252</v>
      </c>
      <c r="S189" s="85"/>
      <c r="T189" s="86"/>
      <c r="U189" s="1706"/>
      <c r="V189" s="1707"/>
      <c r="W189" s="748" t="s">
        <v>253</v>
      </c>
      <c r="X189" s="85"/>
      <c r="Y189" s="86"/>
      <c r="Z189" s="747" t="s">
        <v>254</v>
      </c>
      <c r="AA189" s="85"/>
      <c r="AB189" s="85"/>
      <c r="AC189" s="86"/>
      <c r="AD189" s="751" t="s">
        <v>255</v>
      </c>
      <c r="AE189" s="85"/>
      <c r="AF189" s="86"/>
      <c r="AG189" s="1708" t="s">
        <v>256</v>
      </c>
      <c r="AH189" s="86"/>
      <c r="AI189" s="509" t="s">
        <v>257</v>
      </c>
      <c r="AJ189" s="85"/>
      <c r="AK189" s="86"/>
      <c r="AL189" s="748" t="s">
        <v>258</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709">
        <v>0.0</v>
      </c>
      <c r="E190" s="365"/>
      <c r="F190" s="1710">
        <v>0.0</v>
      </c>
      <c r="H190" s="365"/>
      <c r="I190" s="1711">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712" t="s">
        <v>664</v>
      </c>
      <c r="AT193" s="1713" t="s">
        <v>665</v>
      </c>
      <c r="AU193" s="1713" t="s">
        <v>666</v>
      </c>
      <c r="AV193" s="1713" t="s">
        <v>667</v>
      </c>
      <c r="AW193" s="1713" t="s">
        <v>668</v>
      </c>
      <c r="AX193" s="1713" t="s">
        <v>669</v>
      </c>
      <c r="AY193" s="1713" t="s">
        <v>670</v>
      </c>
      <c r="AZ193" s="1713" t="s">
        <v>671</v>
      </c>
      <c r="BA193" s="1714" t="s">
        <v>672</v>
      </c>
      <c r="BB193" s="31"/>
      <c r="BC193" s="31"/>
      <c r="BD193" s="31"/>
      <c r="BE193" s="31"/>
      <c r="BF193" s="31"/>
      <c r="BG193" s="31"/>
      <c r="BH193" s="31"/>
      <c r="BI193" s="31"/>
      <c r="BJ193" s="31"/>
      <c r="BK193" s="34"/>
      <c r="BL193" s="34"/>
    </row>
    <row r="194" ht="15.0" hidden="1" customHeight="1">
      <c r="A194" s="595">
        <v>5.0</v>
      </c>
      <c r="B194" s="596"/>
      <c r="C194" s="1715">
        <v>0.0</v>
      </c>
      <c r="D194" s="604"/>
      <c r="E194" s="1716"/>
      <c r="F194" s="1717">
        <v>0.0</v>
      </c>
      <c r="G194" s="604"/>
      <c r="H194" s="1716"/>
      <c r="I194" s="1718">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104</v>
      </c>
      <c r="F195" s="615" t="s">
        <v>104</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259</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260</v>
      </c>
      <c r="AK196" s="629"/>
      <c r="AL196" s="630" t="str">
        <f>AVERAGE(AL190:AL194)</f>
        <v>#DIV/0!</v>
      </c>
      <c r="AM196" s="483"/>
      <c r="AN196" s="31"/>
      <c r="AO196" s="31"/>
      <c r="AP196" s="31"/>
      <c r="AQ196" s="31"/>
      <c r="AR196" s="631">
        <f>+K131</f>
        <v>0</v>
      </c>
      <c r="AT196" s="31" t="s">
        <v>261</v>
      </c>
      <c r="AU196" s="31"/>
      <c r="AV196" s="31"/>
      <c r="AW196" s="31"/>
      <c r="AX196" s="1719" t="s">
        <v>698</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263</v>
      </c>
      <c r="B198" s="632"/>
      <c r="C198" s="633"/>
      <c r="D198" s="633"/>
      <c r="E198" s="633"/>
      <c r="F198" s="633"/>
      <c r="G198" s="633"/>
      <c r="H198" s="633"/>
      <c r="I198" s="633"/>
      <c r="J198" s="547"/>
      <c r="K198" s="34"/>
      <c r="L198" s="634" t="s">
        <v>264</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265</v>
      </c>
      <c r="AX198" s="636" t="s">
        <v>266</v>
      </c>
      <c r="AY198" s="637"/>
      <c r="AZ198" s="31"/>
      <c r="BA198" s="636" t="s">
        <v>267</v>
      </c>
      <c r="BB198" s="637"/>
      <c r="BC198" s="31"/>
      <c r="BD198" s="31"/>
      <c r="BE198" s="31"/>
      <c r="BF198" s="31"/>
      <c r="BG198" s="31"/>
      <c r="BH198" s="31"/>
      <c r="BI198" s="31"/>
      <c r="BJ198" s="31"/>
      <c r="BK198" s="34"/>
      <c r="BL198" s="34"/>
    </row>
    <row r="199" ht="12.75" customHeight="1">
      <c r="A199" s="556"/>
      <c r="B199" s="86"/>
      <c r="C199" s="509" t="s">
        <v>247</v>
      </c>
      <c r="D199" s="85"/>
      <c r="E199" s="86"/>
      <c r="F199" s="509" t="s">
        <v>161</v>
      </c>
      <c r="G199" s="85"/>
      <c r="H199" s="86"/>
      <c r="I199" s="784" t="s">
        <v>250</v>
      </c>
      <c r="J199" s="85"/>
      <c r="K199" s="86"/>
      <c r="L199" s="785" t="s">
        <v>162</v>
      </c>
      <c r="M199" s="85"/>
      <c r="N199" s="813" t="s">
        <v>163</v>
      </c>
      <c r="O199" s="85"/>
      <c r="P199" s="86"/>
      <c r="Q199" s="813" t="s">
        <v>673</v>
      </c>
      <c r="R199" s="85"/>
      <c r="S199" s="86"/>
      <c r="T199" s="814" t="s">
        <v>166</v>
      </c>
      <c r="U199" s="85"/>
      <c r="V199" s="85"/>
      <c r="W199" s="85"/>
      <c r="X199" s="86"/>
      <c r="Y199" s="1941" t="s">
        <v>625</v>
      </c>
      <c r="Z199" s="85"/>
      <c r="AA199" s="86"/>
      <c r="AB199" s="813" t="s">
        <v>164</v>
      </c>
      <c r="AC199" s="85"/>
      <c r="AD199" s="86"/>
      <c r="AE199" s="785" t="s">
        <v>167</v>
      </c>
      <c r="AF199" s="85"/>
      <c r="AG199" s="86"/>
      <c r="AH199" s="785" t="s">
        <v>269</v>
      </c>
      <c r="AI199" s="85"/>
      <c r="AJ199" s="85"/>
      <c r="AK199" s="86"/>
      <c r="AL199" s="784" t="s">
        <v>270</v>
      </c>
      <c r="AM199" s="86"/>
      <c r="AN199" s="31"/>
      <c r="AO199" s="31"/>
      <c r="AP199" s="31"/>
      <c r="AQ199" s="31"/>
      <c r="AR199" s="31"/>
      <c r="AS199" s="31"/>
      <c r="AT199" s="640" t="s">
        <v>268</v>
      </c>
      <c r="AU199" s="64" t="s">
        <v>271</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1942" t="str">
        <f t="shared" si="38"/>
        <v>#REF!</v>
      </c>
      <c r="J204" s="604"/>
      <c r="K204" s="596"/>
      <c r="L204" s="804">
        <v>1.2</v>
      </c>
      <c r="M204" s="596"/>
      <c r="N204" s="804">
        <v>1.15</v>
      </c>
      <c r="O204" s="604"/>
      <c r="P204" s="596"/>
      <c r="Q204" s="804">
        <v>1.0</v>
      </c>
      <c r="R204" s="604"/>
      <c r="S204" s="596"/>
      <c r="T204" s="1943"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104</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259</v>
      </c>
      <c r="I206" s="692" t="str">
        <f>AVERAGE(I200:I204)</f>
        <v>#REF!</v>
      </c>
      <c r="J206" s="482"/>
      <c r="K206" s="483"/>
      <c r="L206" s="693" t="s">
        <v>272</v>
      </c>
      <c r="M206" s="693"/>
      <c r="N206" s="34"/>
      <c r="O206" s="694" t="s">
        <v>273</v>
      </c>
      <c r="P206" s="467"/>
      <c r="Q206" s="467"/>
      <c r="R206" s="467"/>
      <c r="S206" s="467"/>
      <c r="T206" s="467"/>
      <c r="U206" s="467"/>
      <c r="V206" s="467"/>
      <c r="W206" s="467"/>
      <c r="X206" s="467"/>
      <c r="Y206" s="467"/>
      <c r="Z206" s="467"/>
      <c r="AA206" s="467"/>
      <c r="AB206" s="467"/>
      <c r="AC206" s="467"/>
      <c r="AD206" s="467"/>
      <c r="AE206" s="467"/>
      <c r="AF206" s="467"/>
      <c r="AG206" s="695"/>
      <c r="AH206" s="1944" t="s">
        <v>674</v>
      </c>
      <c r="AK206" s="1656"/>
      <c r="AL206" s="1945"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274</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275</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276</v>
      </c>
      <c r="D209" s="817"/>
      <c r="E209" s="1946" t="str">
        <f>MIN(AL200:AL204)</f>
        <v>#REF!</v>
      </c>
      <c r="F209" s="85"/>
      <c r="G209" s="85"/>
      <c r="H209" s="86"/>
      <c r="I209" s="1947" t="s">
        <v>277</v>
      </c>
      <c r="J209" s="702"/>
      <c r="K209" s="713"/>
      <c r="L209" s="713"/>
      <c r="M209" s="713"/>
      <c r="N209" s="713"/>
      <c r="O209" s="701"/>
      <c r="P209" s="701"/>
      <c r="Q209" s="703"/>
      <c r="R209" s="714"/>
      <c r="S209" s="703"/>
      <c r="T209" s="703"/>
      <c r="U209" s="703"/>
      <c r="V209" s="703"/>
      <c r="W209" s="703"/>
      <c r="X209" s="703"/>
      <c r="Y209" s="714" t="s">
        <v>278</v>
      </c>
      <c r="Z209" s="1747" t="str">
        <f>AL206</f>
        <v>#REF!</v>
      </c>
      <c r="AA209" s="85"/>
      <c r="AB209" s="85"/>
      <c r="AC209" s="85"/>
      <c r="AD209" s="86"/>
      <c r="AE209" s="1947" t="s">
        <v>277</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259</v>
      </c>
      <c r="D210" s="817"/>
      <c r="E210" s="1946" t="str">
        <f>AL206</f>
        <v>#REF!</v>
      </c>
      <c r="F210" s="85"/>
      <c r="G210" s="85"/>
      <c r="H210" s="86"/>
      <c r="I210" s="1947" t="s">
        <v>277</v>
      </c>
      <c r="J210" s="702"/>
      <c r="K210" s="713"/>
      <c r="L210" s="713"/>
      <c r="M210" s="713"/>
      <c r="N210" s="713"/>
      <c r="O210" s="701"/>
      <c r="P210" s="701"/>
      <c r="Q210" s="703"/>
      <c r="R210" s="714"/>
      <c r="S210" s="703"/>
      <c r="T210" s="703"/>
      <c r="U210" s="703"/>
      <c r="V210" s="703"/>
      <c r="W210" s="703"/>
      <c r="X210" s="703"/>
      <c r="Y210" s="714" t="s">
        <v>280</v>
      </c>
      <c r="Z210" s="1749">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281</v>
      </c>
      <c r="D211" s="817"/>
      <c r="E211" s="1948" t="str">
        <f>MAX(AL200:AL204)</f>
        <v>#REF!</v>
      </c>
      <c r="F211" s="85"/>
      <c r="G211" s="85"/>
      <c r="H211" s="86"/>
      <c r="I211" s="1947" t="s">
        <v>277</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1949" t="s">
        <v>675</v>
      </c>
      <c r="AJ212" s="1753"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1949" t="s">
        <v>676</v>
      </c>
      <c r="AJ213" s="1754"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755" t="s">
        <v>677</v>
      </c>
      <c r="AJ214" s="1756"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283</v>
      </c>
      <c r="D215" s="733"/>
      <c r="E215" s="124"/>
      <c r="F215" s="699"/>
      <c r="G215" s="699"/>
      <c r="H215" s="698"/>
      <c r="I215" s="698"/>
      <c r="J215" s="698"/>
      <c r="K215" s="698"/>
      <c r="L215" s="699"/>
      <c r="M215" s="699"/>
      <c r="N215" s="699"/>
      <c r="O215" s="699"/>
      <c r="P215" s="699"/>
      <c r="Q215" s="832" t="s">
        <v>284</v>
      </c>
      <c r="R215" s="699"/>
      <c r="S215" s="698"/>
      <c r="T215" s="699"/>
      <c r="U215" s="699"/>
      <c r="V215" s="699"/>
      <c r="W215" s="699"/>
      <c r="X215" s="699"/>
      <c r="Y215" s="699"/>
      <c r="Z215" s="699"/>
      <c r="AA215" s="699"/>
      <c r="AB215" s="699"/>
      <c r="AC215" s="34"/>
      <c r="AD215" s="699"/>
      <c r="AE215" s="699"/>
      <c r="AF215" s="34"/>
      <c r="AG215" s="34"/>
      <c r="AH215" s="34"/>
      <c r="AI215" s="480" t="s">
        <v>699</v>
      </c>
      <c r="AJ215" s="481" t="str">
        <f>AJ214*AP215</f>
        <v>#DIV/0!</v>
      </c>
      <c r="AK215" s="482"/>
      <c r="AL215" s="482"/>
      <c r="AM215" s="1759"/>
      <c r="AN215" s="31"/>
      <c r="AO215" s="1760" t="s">
        <v>104</v>
      </c>
      <c r="AP215" s="1918"/>
      <c r="AQ215" s="1633"/>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761"/>
      <c r="B216" s="1761"/>
      <c r="C216" s="1761" t="s">
        <v>259</v>
      </c>
      <c r="D216" s="1761"/>
      <c r="E216" s="1762"/>
      <c r="F216" s="1763"/>
      <c r="G216" s="1763"/>
      <c r="H216" s="1761"/>
      <c r="I216" s="1761"/>
      <c r="J216" s="1761"/>
      <c r="K216" s="1761"/>
      <c r="L216" s="1763"/>
      <c r="M216" s="1763"/>
      <c r="N216" s="1763"/>
      <c r="O216" s="1763"/>
      <c r="P216" s="1763"/>
      <c r="Q216" s="1763"/>
      <c r="R216" s="1763"/>
      <c r="S216" s="1761"/>
      <c r="T216" s="1763"/>
      <c r="U216" s="1763"/>
      <c r="V216" s="1763"/>
      <c r="W216" s="1763"/>
      <c r="X216" s="1763"/>
      <c r="Y216" s="1763"/>
      <c r="Z216" s="1763"/>
      <c r="AA216" s="1763"/>
      <c r="AB216" s="1763"/>
      <c r="AC216" s="1763"/>
      <c r="AD216" s="1763"/>
      <c r="AE216" s="1763"/>
      <c r="AF216" s="1764"/>
      <c r="AG216" s="1764"/>
      <c r="AH216" s="1764"/>
      <c r="AI216" s="1764"/>
      <c r="AJ216" s="1764"/>
      <c r="AK216" s="1764"/>
      <c r="AL216" s="1764"/>
      <c r="AM216" s="1764"/>
      <c r="AN216" s="31"/>
      <c r="AO216" s="1765"/>
      <c r="AP216" s="1766"/>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765"/>
      <c r="AP217" s="1766"/>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765"/>
      <c r="AP218" s="1767"/>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5"/>
      <c r="AP219" s="1767"/>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285</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286</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287</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1950" t="s">
        <v>288</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289</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220</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222</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223</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294</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1951"/>
      <c r="B313" s="1951"/>
      <c r="C313" s="1951"/>
      <c r="D313" s="1951"/>
      <c r="E313" s="1951"/>
      <c r="F313" s="1951"/>
      <c r="G313" s="1951"/>
      <c r="H313" s="1951"/>
      <c r="I313" s="1951"/>
      <c r="J313" s="1951"/>
      <c r="K313" s="1951"/>
      <c r="L313" s="1951"/>
      <c r="M313" s="1951"/>
      <c r="N313" s="1951"/>
      <c r="O313" s="1951"/>
      <c r="P313" s="1951"/>
      <c r="Q313" s="1951"/>
      <c r="R313" s="1951"/>
      <c r="S313" s="1951"/>
      <c r="T313" s="1951"/>
      <c r="U313" s="1951"/>
      <c r="V313" s="1951"/>
      <c r="W313" s="1951"/>
      <c r="X313" s="1951"/>
      <c r="Y313" s="1951"/>
      <c r="Z313" s="1951"/>
      <c r="AA313" s="1951"/>
      <c r="AB313" s="1951"/>
      <c r="AC313" s="1951"/>
      <c r="AD313" s="1951"/>
      <c r="AE313" s="1951"/>
      <c r="AF313" s="1951"/>
      <c r="AG313" s="1951"/>
      <c r="AH313" s="1951"/>
      <c r="AI313" s="1951"/>
      <c r="AJ313" s="1951"/>
      <c r="AK313" s="1951"/>
      <c r="AL313" s="1951"/>
      <c r="AM313" s="195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1951"/>
      <c r="B314" s="1951"/>
      <c r="C314" s="1951"/>
      <c r="D314" s="1951"/>
      <c r="E314" s="1951"/>
      <c r="F314" s="1951"/>
      <c r="G314" s="1951"/>
      <c r="H314" s="1951"/>
      <c r="I314" s="1951"/>
      <c r="J314" s="1951"/>
      <c r="K314" s="1951"/>
      <c r="L314" s="1951"/>
      <c r="M314" s="1951"/>
      <c r="N314" s="1951"/>
      <c r="O314" s="1951"/>
      <c r="P314" s="1951"/>
      <c r="Q314" s="1951"/>
      <c r="R314" s="1951"/>
      <c r="S314" s="1951"/>
      <c r="T314" s="1951"/>
      <c r="U314" s="1951"/>
      <c r="V314" s="1951"/>
      <c r="W314" s="1951"/>
      <c r="X314" s="1951"/>
      <c r="Y314" s="1951"/>
      <c r="Z314" s="1951"/>
      <c r="AA314" s="1951"/>
      <c r="AB314" s="1951"/>
      <c r="AC314" s="1951"/>
      <c r="AD314" s="1951"/>
      <c r="AE314" s="1951"/>
      <c r="AF314" s="1951"/>
      <c r="AG314" s="1951"/>
      <c r="AH314" s="1951"/>
      <c r="AI314" s="1951"/>
      <c r="AJ314" s="1951"/>
      <c r="AK314" s="1951"/>
      <c r="AL314" s="1951"/>
      <c r="AM314" s="195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1951"/>
      <c r="B315" s="1951"/>
      <c r="C315" s="1951"/>
      <c r="D315" s="1951"/>
      <c r="E315" s="1951"/>
      <c r="F315" s="1951"/>
      <c r="G315" s="1951"/>
      <c r="H315" s="1951"/>
      <c r="I315" s="1951"/>
      <c r="J315" s="1951"/>
      <c r="K315" s="1951"/>
      <c r="L315" s="1951"/>
      <c r="M315" s="1951"/>
      <c r="N315" s="1951"/>
      <c r="O315" s="1951"/>
      <c r="P315" s="1951"/>
      <c r="Q315" s="1951"/>
      <c r="R315" s="1951"/>
      <c r="S315" s="1951"/>
      <c r="T315" s="1951"/>
      <c r="U315" s="1951"/>
      <c r="V315" s="1951"/>
      <c r="W315" s="1951"/>
      <c r="X315" s="1951"/>
      <c r="Y315" s="1951"/>
      <c r="Z315" s="1951"/>
      <c r="AA315" s="1951"/>
      <c r="AB315" s="1951"/>
      <c r="AC315" s="1951"/>
      <c r="AD315" s="1951"/>
      <c r="AE315" s="1951"/>
      <c r="AF315" s="1951"/>
      <c r="AG315" s="1951"/>
      <c r="AH315" s="1951"/>
      <c r="AI315" s="1951"/>
      <c r="AJ315" s="1951"/>
      <c r="AK315" s="1951"/>
      <c r="AL315" s="1951"/>
      <c r="AM315" s="195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1951"/>
      <c r="B316" s="1951"/>
      <c r="C316" s="1951"/>
      <c r="D316" s="1951"/>
      <c r="E316" s="1951"/>
      <c r="F316" s="1951"/>
      <c r="G316" s="1951"/>
      <c r="H316" s="1951"/>
      <c r="I316" s="1951"/>
      <c r="J316" s="1951"/>
      <c r="K316" s="1951"/>
      <c r="L316" s="1951"/>
      <c r="M316" s="1951"/>
      <c r="N316" s="1951"/>
      <c r="O316" s="1951"/>
      <c r="P316" s="1951"/>
      <c r="Q316" s="1951"/>
      <c r="R316" s="1951"/>
      <c r="S316" s="1951"/>
      <c r="T316" s="1951"/>
      <c r="U316" s="1951"/>
      <c r="V316" s="1951"/>
      <c r="W316" s="1951"/>
      <c r="X316" s="1951"/>
      <c r="Y316" s="1951"/>
      <c r="Z316" s="1951"/>
      <c r="AA316" s="1951"/>
      <c r="AB316" s="1951"/>
      <c r="AC316" s="1951"/>
      <c r="AD316" s="1951"/>
      <c r="AE316" s="1951"/>
      <c r="AF316" s="1951"/>
      <c r="AG316" s="1951"/>
      <c r="AH316" s="1951"/>
      <c r="AI316" s="1951"/>
      <c r="AJ316" s="1951"/>
      <c r="AK316" s="1951"/>
      <c r="AL316" s="1951"/>
      <c r="AM316" s="195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1951"/>
      <c r="B317" s="1951"/>
      <c r="C317" s="1951"/>
      <c r="D317" s="1951"/>
      <c r="E317" s="1951"/>
      <c r="F317" s="1951"/>
      <c r="G317" s="1951"/>
      <c r="H317" s="1951"/>
      <c r="I317" s="1951"/>
      <c r="J317" s="1951"/>
      <c r="K317" s="1951"/>
      <c r="L317" s="1951"/>
      <c r="M317" s="1951"/>
      <c r="N317" s="1951"/>
      <c r="O317" s="1951"/>
      <c r="P317" s="1951"/>
      <c r="Q317" s="1951"/>
      <c r="R317" s="1951"/>
      <c r="S317" s="1951"/>
      <c r="T317" s="1951"/>
      <c r="U317" s="1951"/>
      <c r="V317" s="1951"/>
      <c r="W317" s="1951"/>
      <c r="X317" s="1951"/>
      <c r="Y317" s="1951"/>
      <c r="Z317" s="1951"/>
      <c r="AA317" s="1951"/>
      <c r="AB317" s="1951"/>
      <c r="AC317" s="1951"/>
      <c r="AD317" s="1951"/>
      <c r="AE317" s="1951"/>
      <c r="AF317" s="1951"/>
      <c r="AG317" s="1951"/>
      <c r="AH317" s="1951"/>
      <c r="AI317" s="1951"/>
      <c r="AJ317" s="1951"/>
      <c r="AK317" s="1951"/>
      <c r="AL317" s="1951"/>
      <c r="AM317" s="195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1951"/>
      <c r="B318" s="1951"/>
      <c r="C318" s="1951"/>
      <c r="D318" s="1951"/>
      <c r="E318" s="1951"/>
      <c r="F318" s="1951"/>
      <c r="G318" s="1951"/>
      <c r="H318" s="1951"/>
      <c r="I318" s="1951"/>
      <c r="J318" s="1951"/>
      <c r="K318" s="1951"/>
      <c r="L318" s="1951"/>
      <c r="M318" s="1951"/>
      <c r="N318" s="1951"/>
      <c r="O318" s="1951"/>
      <c r="P318" s="1951"/>
      <c r="Q318" s="1951"/>
      <c r="R318" s="1951"/>
      <c r="S318" s="1951"/>
      <c r="T318" s="1951"/>
      <c r="U318" s="1951"/>
      <c r="V318" s="1951"/>
      <c r="W318" s="1951"/>
      <c r="X318" s="1951"/>
      <c r="Y318" s="1951"/>
      <c r="Z318" s="1951"/>
      <c r="AA318" s="1951"/>
      <c r="AB318" s="1951"/>
      <c r="AC318" s="1951"/>
      <c r="AD318" s="1951"/>
      <c r="AE318" s="1951"/>
      <c r="AF318" s="1951"/>
      <c r="AG318" s="1951"/>
      <c r="AH318" s="1951"/>
      <c r="AI318" s="1951"/>
      <c r="AJ318" s="1951"/>
      <c r="AK318" s="1951"/>
      <c r="AL318" s="1951"/>
      <c r="AM318" s="195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1951"/>
      <c r="B319" s="1951"/>
      <c r="C319" s="1951"/>
      <c r="D319" s="1951"/>
      <c r="E319" s="1951"/>
      <c r="F319" s="1951"/>
      <c r="G319" s="1951"/>
      <c r="H319" s="1951"/>
      <c r="I319" s="1951"/>
      <c r="J319" s="1951"/>
      <c r="K319" s="1951"/>
      <c r="L319" s="1951"/>
      <c r="M319" s="1951"/>
      <c r="N319" s="1951"/>
      <c r="O319" s="1951"/>
      <c r="P319" s="1951"/>
      <c r="Q319" s="1951"/>
      <c r="R319" s="1951"/>
      <c r="S319" s="1951"/>
      <c r="T319" s="1951"/>
      <c r="U319" s="1951"/>
      <c r="V319" s="1951"/>
      <c r="W319" s="1951"/>
      <c r="X319" s="1951"/>
      <c r="Y319" s="1951"/>
      <c r="Z319" s="1951"/>
      <c r="AA319" s="1951"/>
      <c r="AB319" s="1951"/>
      <c r="AC319" s="1951"/>
      <c r="AD319" s="1951"/>
      <c r="AE319" s="1951"/>
      <c r="AF319" s="1951"/>
      <c r="AG319" s="1951"/>
      <c r="AH319" s="1951"/>
      <c r="AI319" s="1951"/>
      <c r="AJ319" s="1951"/>
      <c r="AK319" s="1951"/>
      <c r="AL319" s="1951"/>
      <c r="AM319" s="195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1951"/>
      <c r="B320" s="1951"/>
      <c r="C320" s="1951"/>
      <c r="D320" s="1951"/>
      <c r="E320" s="1951"/>
      <c r="F320" s="1951"/>
      <c r="G320" s="1951"/>
      <c r="H320" s="1951"/>
      <c r="I320" s="1951"/>
      <c r="J320" s="1951"/>
      <c r="K320" s="1951"/>
      <c r="L320" s="1951"/>
      <c r="M320" s="1951"/>
      <c r="N320" s="1951"/>
      <c r="O320" s="1951"/>
      <c r="P320" s="1951"/>
      <c r="Q320" s="1951"/>
      <c r="R320" s="1951"/>
      <c r="S320" s="1951"/>
      <c r="T320" s="1951"/>
      <c r="U320" s="1951"/>
      <c r="V320" s="1951"/>
      <c r="W320" s="1951"/>
      <c r="X320" s="1951"/>
      <c r="Y320" s="1951"/>
      <c r="Z320" s="1951"/>
      <c r="AA320" s="1951"/>
      <c r="AB320" s="1951"/>
      <c r="AC320" s="1951"/>
      <c r="AD320" s="1951"/>
      <c r="AE320" s="1951"/>
      <c r="AF320" s="1951"/>
      <c r="AG320" s="1951"/>
      <c r="AH320" s="1951"/>
      <c r="AI320" s="1951"/>
      <c r="AJ320" s="1951"/>
      <c r="AK320" s="1951"/>
      <c r="AL320" s="1951"/>
      <c r="AM320" s="195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1951"/>
      <c r="B321" s="1951"/>
      <c r="C321" s="1951"/>
      <c r="D321" s="1951"/>
      <c r="E321" s="1951"/>
      <c r="F321" s="1951"/>
      <c r="G321" s="1951"/>
      <c r="H321" s="1951"/>
      <c r="I321" s="1951"/>
      <c r="J321" s="1951"/>
      <c r="K321" s="1951"/>
      <c r="L321" s="1951"/>
      <c r="M321" s="1951"/>
      <c r="N321" s="1951"/>
      <c r="O321" s="1951"/>
      <c r="P321" s="1951"/>
      <c r="Q321" s="1951"/>
      <c r="R321" s="1951"/>
      <c r="S321" s="1951"/>
      <c r="T321" s="1951"/>
      <c r="U321" s="1951"/>
      <c r="V321" s="1951"/>
      <c r="W321" s="1951"/>
      <c r="X321" s="1951"/>
      <c r="Y321" s="1951"/>
      <c r="Z321" s="1951"/>
      <c r="AA321" s="1951"/>
      <c r="AB321" s="1951"/>
      <c r="AC321" s="1951"/>
      <c r="AD321" s="1951"/>
      <c r="AE321" s="1951"/>
      <c r="AF321" s="1951"/>
      <c r="AG321" s="1951"/>
      <c r="AH321" s="1951"/>
      <c r="AI321" s="1951"/>
      <c r="AJ321" s="1951"/>
      <c r="AK321" s="1951"/>
      <c r="AL321" s="1951"/>
      <c r="AM321" s="195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1951"/>
      <c r="B322" s="1951"/>
      <c r="C322" s="1951"/>
      <c r="D322" s="1951"/>
      <c r="E322" s="1951"/>
      <c r="F322" s="1951"/>
      <c r="G322" s="1951"/>
      <c r="H322" s="1951"/>
      <c r="I322" s="1951"/>
      <c r="J322" s="1951"/>
      <c r="K322" s="1951"/>
      <c r="L322" s="1951"/>
      <c r="M322" s="1951"/>
      <c r="N322" s="1951"/>
      <c r="O322" s="1951"/>
      <c r="P322" s="1951"/>
      <c r="Q322" s="1951"/>
      <c r="R322" s="1951"/>
      <c r="S322" s="1951"/>
      <c r="T322" s="1951"/>
      <c r="U322" s="1951"/>
      <c r="V322" s="1951"/>
      <c r="W322" s="1951"/>
      <c r="X322" s="1951"/>
      <c r="Y322" s="1951"/>
      <c r="Z322" s="1951"/>
      <c r="AA322" s="1951"/>
      <c r="AB322" s="1951"/>
      <c r="AC322" s="1951"/>
      <c r="AD322" s="1951"/>
      <c r="AE322" s="1951"/>
      <c r="AF322" s="1951"/>
      <c r="AG322" s="1951"/>
      <c r="AH322" s="1951"/>
      <c r="AI322" s="1951"/>
      <c r="AJ322" s="1951"/>
      <c r="AK322" s="1951"/>
      <c r="AL322" s="1951"/>
      <c r="AM322" s="195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1951"/>
      <c r="B323" s="1951"/>
      <c r="C323" s="1951"/>
      <c r="D323" s="1951"/>
      <c r="E323" s="1951"/>
      <c r="F323" s="1951"/>
      <c r="G323" s="1951"/>
      <c r="H323" s="1951"/>
      <c r="I323" s="1951"/>
      <c r="J323" s="1951"/>
      <c r="K323" s="1951"/>
      <c r="L323" s="1951"/>
      <c r="M323" s="1951"/>
      <c r="N323" s="1951"/>
      <c r="O323" s="1951"/>
      <c r="P323" s="1951"/>
      <c r="Q323" s="1951"/>
      <c r="R323" s="1951"/>
      <c r="S323" s="1951"/>
      <c r="T323" s="1951"/>
      <c r="U323" s="1951"/>
      <c r="V323" s="1951"/>
      <c r="W323" s="1951"/>
      <c r="X323" s="1951"/>
      <c r="Y323" s="1951"/>
      <c r="Z323" s="1951"/>
      <c r="AA323" s="1951"/>
      <c r="AB323" s="1951"/>
      <c r="AC323" s="1951"/>
      <c r="AD323" s="1951"/>
      <c r="AE323" s="1951"/>
      <c r="AF323" s="1951"/>
      <c r="AG323" s="1951"/>
      <c r="AH323" s="1951"/>
      <c r="AI323" s="1951"/>
      <c r="AJ323" s="1951"/>
      <c r="AK323" s="1951"/>
      <c r="AL323" s="1951"/>
      <c r="AM323" s="195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1951"/>
      <c r="B324" s="1951"/>
      <c r="C324" s="1951"/>
      <c r="D324" s="1951"/>
      <c r="E324" s="1951"/>
      <c r="F324" s="1951"/>
      <c r="G324" s="1951"/>
      <c r="H324" s="1951"/>
      <c r="I324" s="1951"/>
      <c r="J324" s="1951"/>
      <c r="K324" s="1951"/>
      <c r="L324" s="1951"/>
      <c r="M324" s="1951"/>
      <c r="N324" s="1951"/>
      <c r="O324" s="1951"/>
      <c r="P324" s="1951"/>
      <c r="Q324" s="1951"/>
      <c r="R324" s="1951"/>
      <c r="S324" s="1951"/>
      <c r="T324" s="1951"/>
      <c r="U324" s="1951"/>
      <c r="V324" s="1951"/>
      <c r="W324" s="1951"/>
      <c r="X324" s="1951"/>
      <c r="Y324" s="1951"/>
      <c r="Z324" s="1951"/>
      <c r="AA324" s="1951"/>
      <c r="AB324" s="1951"/>
      <c r="AC324" s="1951"/>
      <c r="AD324" s="1951"/>
      <c r="AE324" s="1951"/>
      <c r="AF324" s="1951"/>
      <c r="AG324" s="1951"/>
      <c r="AH324" s="1951"/>
      <c r="AI324" s="1951"/>
      <c r="AJ324" s="1951"/>
      <c r="AK324" s="1951"/>
      <c r="AL324" s="1951"/>
      <c r="AM324" s="195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1951"/>
      <c r="B325" s="1951"/>
      <c r="C325" s="1951"/>
      <c r="D325" s="1951"/>
      <c r="E325" s="1951"/>
      <c r="F325" s="1951"/>
      <c r="G325" s="1951"/>
      <c r="H325" s="1951"/>
      <c r="I325" s="1951"/>
      <c r="J325" s="1951"/>
      <c r="K325" s="1951"/>
      <c r="L325" s="1951"/>
      <c r="M325" s="1951"/>
      <c r="N325" s="1951"/>
      <c r="O325" s="1951"/>
      <c r="P325" s="1951"/>
      <c r="Q325" s="1951"/>
      <c r="R325" s="1951"/>
      <c r="S325" s="1951"/>
      <c r="T325" s="1951"/>
      <c r="U325" s="1951"/>
      <c r="V325" s="1951"/>
      <c r="W325" s="1951"/>
      <c r="X325" s="1951"/>
      <c r="Y325" s="1951"/>
      <c r="Z325" s="1951"/>
      <c r="AA325" s="1951"/>
      <c r="AB325" s="1951"/>
      <c r="AC325" s="1951"/>
      <c r="AD325" s="1951"/>
      <c r="AE325" s="1951"/>
      <c r="AF325" s="1951"/>
      <c r="AG325" s="1951"/>
      <c r="AH325" s="1951"/>
      <c r="AI325" s="1951"/>
      <c r="AJ325" s="1951"/>
      <c r="AK325" s="1951"/>
      <c r="AL325" s="1951"/>
      <c r="AM325" s="195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1951"/>
      <c r="B326" s="1951"/>
      <c r="C326" s="1951"/>
      <c r="D326" s="1951"/>
      <c r="E326" s="1951"/>
      <c r="F326" s="1951"/>
      <c r="G326" s="1951"/>
      <c r="H326" s="1951"/>
      <c r="I326" s="1951"/>
      <c r="J326" s="1951"/>
      <c r="K326" s="1951"/>
      <c r="L326" s="1951"/>
      <c r="M326" s="1951"/>
      <c r="N326" s="1951"/>
      <c r="O326" s="1951"/>
      <c r="P326" s="1951"/>
      <c r="Q326" s="1951"/>
      <c r="R326" s="1951"/>
      <c r="S326" s="1951"/>
      <c r="T326" s="1951"/>
      <c r="U326" s="1951"/>
      <c r="V326" s="1951"/>
      <c r="W326" s="1951"/>
      <c r="X326" s="1951"/>
      <c r="Y326" s="1951"/>
      <c r="Z326" s="1951"/>
      <c r="AA326" s="1951"/>
      <c r="AB326" s="1951"/>
      <c r="AC326" s="1951"/>
      <c r="AD326" s="1951"/>
      <c r="AE326" s="1951"/>
      <c r="AF326" s="1951"/>
      <c r="AG326" s="1951"/>
      <c r="AH326" s="1951"/>
      <c r="AI326" s="1951"/>
      <c r="AJ326" s="1951"/>
      <c r="AK326" s="1951"/>
      <c r="AL326" s="1951"/>
      <c r="AM326" s="195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1952" t="s">
        <v>295</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772"/>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700</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297</v>
      </c>
      <c r="AC332" s="843" t="str">
        <f>ROUND(AC334*1.1,-3)</f>
        <v>#REF!</v>
      </c>
      <c r="AL332" s="844"/>
      <c r="AM332" s="844"/>
      <c r="AN332" s="1773"/>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774"/>
      <c r="AD333" s="1774"/>
      <c r="AE333" s="1774"/>
      <c r="AF333" s="1774"/>
      <c r="AG333" s="1774"/>
      <c r="AH333" s="1774"/>
      <c r="AI333" s="1774"/>
      <c r="AJ333" s="1774"/>
      <c r="AK333" s="177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298</v>
      </c>
      <c r="AC334" s="1775"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774"/>
      <c r="AD335" s="1774"/>
      <c r="AE335" s="1774"/>
      <c r="AF335" s="1774"/>
      <c r="AG335" s="1774"/>
      <c r="AH335" s="1774"/>
      <c r="AI335" s="1774"/>
      <c r="AJ335" s="1774"/>
      <c r="AK335" s="1774"/>
      <c r="AL335" s="842"/>
      <c r="AM335" s="842"/>
      <c r="AN335" s="1778"/>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299</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300</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779"/>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701</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774"/>
      <c r="G342" s="1774"/>
      <c r="H342" s="1774"/>
      <c r="I342" s="1774"/>
      <c r="J342" s="1774"/>
      <c r="K342" s="1774"/>
      <c r="L342" s="1774"/>
      <c r="M342" s="1774"/>
      <c r="N342" s="1774"/>
      <c r="O342" s="848"/>
      <c r="P342" s="848"/>
      <c r="Q342" s="848"/>
      <c r="R342" s="34"/>
      <c r="S342" s="34"/>
      <c r="T342" s="34"/>
      <c r="U342" s="34"/>
      <c r="V342" s="34"/>
      <c r="W342" s="34"/>
      <c r="X342" s="34"/>
      <c r="Y342" s="34"/>
      <c r="Z342" s="848"/>
      <c r="AA342" s="848"/>
      <c r="AB342" s="82" t="s">
        <v>297</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775"/>
      <c r="O343" s="848"/>
      <c r="P343" s="848"/>
      <c r="Q343" s="848"/>
      <c r="R343" s="34"/>
      <c r="S343" s="34"/>
      <c r="T343" s="34"/>
      <c r="U343" s="34"/>
      <c r="V343" s="34"/>
      <c r="W343" s="34"/>
      <c r="X343" s="34"/>
      <c r="Y343" s="34"/>
      <c r="Z343" s="854"/>
      <c r="AA343" s="854"/>
      <c r="AB343" s="846"/>
      <c r="AC343" s="1774"/>
      <c r="AD343" s="1774"/>
      <c r="AE343" s="1774"/>
      <c r="AF343" s="1774"/>
      <c r="AG343" s="1774"/>
      <c r="AH343" s="1774"/>
      <c r="AI343" s="1774"/>
      <c r="AJ343" s="1774"/>
      <c r="AK343" s="177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774"/>
      <c r="G344" s="1774"/>
      <c r="H344" s="1774"/>
      <c r="I344" s="1774"/>
      <c r="J344" s="1774"/>
      <c r="K344" s="1774"/>
      <c r="L344" s="1774"/>
      <c r="M344" s="1774"/>
      <c r="N344" s="1774"/>
      <c r="O344" s="34"/>
      <c r="P344" s="34"/>
      <c r="Q344" s="34"/>
      <c r="R344" s="34"/>
      <c r="S344" s="34"/>
      <c r="T344" s="34"/>
      <c r="U344" s="34"/>
      <c r="V344" s="34"/>
      <c r="W344" s="34"/>
      <c r="X344" s="34"/>
      <c r="Y344" s="34"/>
      <c r="Z344" s="856"/>
      <c r="AA344" s="856"/>
      <c r="AB344" s="82" t="s">
        <v>298</v>
      </c>
      <c r="AC344" s="1775"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774"/>
      <c r="U345" s="1774"/>
      <c r="V345" s="1774"/>
      <c r="W345" s="1774"/>
      <c r="X345" s="1774"/>
      <c r="Y345" s="1774"/>
      <c r="Z345" s="34"/>
      <c r="AA345" s="34"/>
      <c r="AB345" s="34"/>
      <c r="AC345" s="1774"/>
      <c r="AD345" s="1774"/>
      <c r="AE345" s="1774"/>
      <c r="AF345" s="1774"/>
      <c r="AG345" s="1774"/>
      <c r="AH345" s="1774"/>
      <c r="AI345" s="1774"/>
      <c r="AJ345" s="1774"/>
      <c r="AK345" s="177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780" t="s">
        <v>303</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299</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774"/>
      <c r="AD347" s="1774"/>
      <c r="AE347" s="1774"/>
      <c r="AF347" s="1774"/>
      <c r="AG347" s="1774"/>
      <c r="AH347" s="1774"/>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702</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1953"/>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1954"/>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1954"/>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1954"/>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1954"/>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1954"/>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1954"/>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1954"/>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1954"/>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1954"/>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1954"/>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1954"/>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1954"/>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1954"/>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1954"/>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1954"/>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1954"/>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195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195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195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195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195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195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195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195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195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195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1954"/>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1954"/>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1954"/>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1954"/>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1954"/>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1954"/>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1954"/>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1954"/>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1955"/>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783" t="str">
        <f>'OPI Terreno Rta'!AI161</f>
        <v>#REF!</v>
      </c>
      <c r="B465" s="1783"/>
      <c r="C465" s="56"/>
      <c r="D465" s="56"/>
      <c r="E465" s="1784"/>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785" t="str">
        <f>L484</f>
        <v>#REF!</v>
      </c>
      <c r="B467" s="1785"/>
      <c r="C467" s="1786"/>
      <c r="D467" s="1786"/>
      <c r="E467" s="1786"/>
      <c r="F467" s="1786"/>
      <c r="G467" s="1786"/>
      <c r="H467" s="1786"/>
      <c r="I467" s="1786"/>
      <c r="J467" s="1786"/>
      <c r="K467" s="1786"/>
      <c r="L467" s="1786"/>
      <c r="M467" s="1786"/>
      <c r="N467" s="1786"/>
      <c r="O467" s="1786"/>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787" t="s">
        <v>305</v>
      </c>
      <c r="D471" s="1788"/>
      <c r="E471" s="1788" t="s">
        <v>306</v>
      </c>
      <c r="F471" s="1788" t="s">
        <v>306</v>
      </c>
      <c r="G471" s="1788"/>
      <c r="H471" s="1788" t="s">
        <v>307</v>
      </c>
      <c r="I471" s="1789"/>
      <c r="J471" s="884"/>
      <c r="K471" s="877" t="s">
        <v>308</v>
      </c>
      <c r="L471" s="877" t="s">
        <v>309</v>
      </c>
      <c r="M471" s="877"/>
      <c r="N471" s="877" t="s">
        <v>310</v>
      </c>
      <c r="O471" s="877" t="s">
        <v>311</v>
      </c>
      <c r="P471" s="877"/>
      <c r="Q471" s="877" t="s">
        <v>312</v>
      </c>
      <c r="R471" s="877"/>
      <c r="S471" s="877"/>
      <c r="T471" s="877" t="s">
        <v>313</v>
      </c>
      <c r="U471" s="877"/>
      <c r="V471" s="877"/>
      <c r="W471" s="877"/>
      <c r="X471" s="877" t="s">
        <v>314</v>
      </c>
      <c r="Y471" s="877"/>
      <c r="Z471" s="877"/>
      <c r="AA471" s="877" t="s">
        <v>315</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790">
        <v>1.0</v>
      </c>
      <c r="B472" s="1791"/>
      <c r="C472" s="1792" t="s">
        <v>316</v>
      </c>
      <c r="D472" s="1792"/>
      <c r="E472" s="1792" t="s">
        <v>317</v>
      </c>
      <c r="F472" s="1792" t="s">
        <v>318</v>
      </c>
      <c r="G472" s="1792"/>
      <c r="H472" s="1792" t="s">
        <v>319</v>
      </c>
      <c r="I472" s="1793" t="s">
        <v>686</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794">
        <v>2.0</v>
      </c>
      <c r="B473" s="1795"/>
      <c r="C473" s="1796" t="s">
        <v>321</v>
      </c>
      <c r="D473" s="1796"/>
      <c r="E473" s="1796" t="s">
        <v>322</v>
      </c>
      <c r="F473" s="1796" t="s">
        <v>323</v>
      </c>
      <c r="G473" s="1796"/>
      <c r="H473" s="1796" t="s">
        <v>324</v>
      </c>
      <c r="I473" s="1797" t="s">
        <v>325</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794">
        <v>3.0</v>
      </c>
      <c r="B474" s="1795"/>
      <c r="C474" s="1796" t="s">
        <v>326</v>
      </c>
      <c r="D474" s="1796"/>
      <c r="E474" s="1796" t="s">
        <v>327</v>
      </c>
      <c r="F474" s="1796" t="s">
        <v>328</v>
      </c>
      <c r="G474" s="1796"/>
      <c r="H474" s="1796" t="s">
        <v>329</v>
      </c>
      <c r="I474" s="1797" t="s">
        <v>330</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794">
        <v>4.0</v>
      </c>
      <c r="B475" s="1795"/>
      <c r="C475" s="1796" t="s">
        <v>331</v>
      </c>
      <c r="D475" s="1796"/>
      <c r="E475" s="1796" t="s">
        <v>332</v>
      </c>
      <c r="F475" s="1796" t="s">
        <v>333</v>
      </c>
      <c r="G475" s="1796"/>
      <c r="H475" s="1796" t="s">
        <v>334</v>
      </c>
      <c r="I475" s="1797" t="s">
        <v>335</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794">
        <v>5.0</v>
      </c>
      <c r="B476" s="1795"/>
      <c r="C476" s="1796" t="s">
        <v>336</v>
      </c>
      <c r="D476" s="1796"/>
      <c r="E476" s="1796" t="s">
        <v>337</v>
      </c>
      <c r="F476" s="1796" t="s">
        <v>338</v>
      </c>
      <c r="G476" s="1796"/>
      <c r="H476" s="1796" t="s">
        <v>339</v>
      </c>
      <c r="I476" s="1797" t="s">
        <v>340</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794">
        <v>6.0</v>
      </c>
      <c r="B477" s="1795"/>
      <c r="C477" s="1796" t="s">
        <v>341</v>
      </c>
      <c r="D477" s="1796"/>
      <c r="E477" s="1796" t="s">
        <v>342</v>
      </c>
      <c r="F477" s="1796" t="s">
        <v>343</v>
      </c>
      <c r="G477" s="1796"/>
      <c r="H477" s="1796" t="s">
        <v>344</v>
      </c>
      <c r="I477" s="1797" t="s">
        <v>345</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794">
        <v>7.0</v>
      </c>
      <c r="B478" s="1795"/>
      <c r="C478" s="1796" t="s">
        <v>346</v>
      </c>
      <c r="D478" s="1796"/>
      <c r="E478" s="1796" t="s">
        <v>347</v>
      </c>
      <c r="F478" s="1796" t="s">
        <v>343</v>
      </c>
      <c r="G478" s="1796"/>
      <c r="H478" s="1796" t="s">
        <v>348</v>
      </c>
      <c r="I478" s="1797" t="s">
        <v>349</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794">
        <v>8.0</v>
      </c>
      <c r="B479" s="1795"/>
      <c r="C479" s="1796" t="s">
        <v>350</v>
      </c>
      <c r="D479" s="1796"/>
      <c r="E479" s="1796" t="s">
        <v>351</v>
      </c>
      <c r="F479" s="1796" t="s">
        <v>343</v>
      </c>
      <c r="G479" s="1796"/>
      <c r="H479" s="1796" t="s">
        <v>352</v>
      </c>
      <c r="I479" s="1797" t="s">
        <v>353</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794">
        <v>9.0</v>
      </c>
      <c r="B480" s="1795"/>
      <c r="C480" s="1796" t="s">
        <v>354</v>
      </c>
      <c r="D480" s="1796"/>
      <c r="E480" s="1796" t="s">
        <v>355</v>
      </c>
      <c r="F480" s="1796" t="s">
        <v>343</v>
      </c>
      <c r="G480" s="1796"/>
      <c r="H480" s="1796" t="s">
        <v>356</v>
      </c>
      <c r="I480" s="1797" t="s">
        <v>357</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798">
        <v>0.0</v>
      </c>
      <c r="B481" s="1799"/>
      <c r="C481" s="1800" t="s">
        <v>104</v>
      </c>
      <c r="D481" s="1800"/>
      <c r="E481" s="1800" t="s">
        <v>104</v>
      </c>
      <c r="F481" s="1800" t="s">
        <v>343</v>
      </c>
      <c r="G481" s="1800"/>
      <c r="H481" s="1800"/>
      <c r="I481" s="1801"/>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796" t="s">
        <v>358</v>
      </c>
      <c r="D483" s="1796"/>
      <c r="E483" s="1796" t="s">
        <v>359</v>
      </c>
      <c r="F483" s="1796" t="s">
        <v>360</v>
      </c>
      <c r="G483" s="1796"/>
      <c r="H483" s="1796" t="s">
        <v>687</v>
      </c>
      <c r="I483" s="1796" t="s">
        <v>362</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796" t="s">
        <v>358</v>
      </c>
      <c r="D484" s="1796"/>
      <c r="E484" s="1796" t="s">
        <v>363</v>
      </c>
      <c r="F484" s="1796" t="str">
        <f>IF(AND(C464&gt;0,E464&lt;2),H484,IF(AND(C464=1,E464&lt;6),H484,""))</f>
        <v>#REF!</v>
      </c>
      <c r="G484" s="1796"/>
      <c r="H484" s="1796" t="s">
        <v>364</v>
      </c>
      <c r="I484" s="1796" t="str">
        <f>IF(AND(E464&gt;0,C464&gt;2),I483,"")</f>
        <v>#REF!</v>
      </c>
      <c r="J484" s="884"/>
      <c r="K484" s="1802" t="s">
        <v>365</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6"/>
      <c r="AI1" s="30">
        <v>3.336320507E9</v>
      </c>
      <c r="AL1" s="27"/>
      <c r="AM1" s="27"/>
      <c r="AN1" s="1957"/>
      <c r="AO1" s="1957"/>
      <c r="AP1" s="1957"/>
      <c r="AQ1" s="1958"/>
      <c r="AR1" s="1957"/>
      <c r="AS1" s="1957"/>
      <c r="AT1" s="1957"/>
      <c r="AU1" s="1957"/>
      <c r="AV1" s="1957"/>
      <c r="AW1" s="1957"/>
      <c r="AX1" s="1957"/>
      <c r="AY1" s="1957"/>
      <c r="AZ1" s="1957"/>
      <c r="BA1" s="1957"/>
      <c r="BB1" s="1957"/>
    </row>
    <row r="2" ht="14.25" customHeight="1">
      <c r="A2" s="25"/>
      <c r="B2" s="25"/>
      <c r="C2" s="25"/>
      <c r="D2" s="25"/>
      <c r="E2" s="25"/>
      <c r="F2" s="25"/>
      <c r="G2" s="25"/>
      <c r="H2" s="25"/>
      <c r="I2" s="25"/>
      <c r="J2" s="25"/>
      <c r="K2" s="25"/>
      <c r="L2" s="25"/>
      <c r="M2" s="25"/>
      <c r="N2" s="25"/>
      <c r="O2" s="1384" t="s">
        <v>703</v>
      </c>
      <c r="AC2" s="25"/>
      <c r="AD2" s="35"/>
      <c r="AE2" s="36"/>
      <c r="AF2" s="37" t="s">
        <v>95</v>
      </c>
      <c r="AN2" s="1957"/>
      <c r="AO2" s="1957"/>
      <c r="AP2" s="1957"/>
      <c r="AQ2" s="1959"/>
      <c r="AR2" s="1957"/>
      <c r="AS2" s="1957"/>
      <c r="AT2" s="1957"/>
      <c r="AU2" s="1957"/>
      <c r="AV2" s="1957"/>
      <c r="AW2" s="1957"/>
      <c r="AX2" s="1957"/>
      <c r="AY2" s="1957"/>
      <c r="AZ2" s="1957"/>
      <c r="BA2" s="1957"/>
      <c r="BB2" s="1957"/>
    </row>
    <row r="3">
      <c r="A3" s="39"/>
      <c r="B3" s="39"/>
      <c r="C3" s="39"/>
      <c r="D3" s="39"/>
      <c r="E3" s="39"/>
      <c r="F3" s="39"/>
      <c r="G3" s="39"/>
      <c r="H3" s="39"/>
      <c r="I3" s="39"/>
      <c r="J3" s="39"/>
      <c r="K3" s="39"/>
      <c r="L3" s="39"/>
      <c r="M3" s="39"/>
      <c r="N3" s="39"/>
      <c r="AC3" s="40"/>
      <c r="AD3" s="35"/>
      <c r="AE3" s="36"/>
      <c r="AF3" s="37" t="s">
        <v>96</v>
      </c>
      <c r="AM3" s="41"/>
      <c r="AN3" s="1957"/>
      <c r="AO3" s="1957"/>
      <c r="AP3" s="1957"/>
      <c r="AQ3" s="1959"/>
      <c r="AR3" s="1957"/>
      <c r="AS3" s="1957"/>
      <c r="AT3" s="1957"/>
      <c r="AU3" s="1957"/>
      <c r="AV3" s="1957"/>
      <c r="AW3" s="1957"/>
      <c r="AX3" s="1957"/>
      <c r="AY3" s="1957"/>
      <c r="AZ3" s="1957"/>
      <c r="BA3" s="1957"/>
      <c r="BB3" s="1957"/>
    </row>
    <row r="4">
      <c r="A4" s="39"/>
      <c r="B4" s="39"/>
      <c r="C4" s="39"/>
      <c r="D4" s="39"/>
      <c r="E4" s="39"/>
      <c r="F4" s="39"/>
      <c r="G4" s="39"/>
      <c r="H4" s="39"/>
      <c r="I4" s="39"/>
      <c r="J4" s="39"/>
      <c r="K4" s="39"/>
      <c r="L4" s="39"/>
      <c r="M4" s="39"/>
      <c r="N4" s="39"/>
      <c r="O4" s="1384"/>
      <c r="P4" s="1384"/>
      <c r="Q4" s="1384"/>
      <c r="R4" s="1384"/>
      <c r="S4" s="1384"/>
      <c r="T4" s="1384"/>
      <c r="U4" s="1384"/>
      <c r="V4" s="1384"/>
      <c r="W4" s="1384"/>
      <c r="X4" s="1384"/>
      <c r="Y4" s="39"/>
      <c r="Z4" s="39"/>
      <c r="AA4" s="39"/>
      <c r="AB4" s="39"/>
      <c r="AC4" s="39"/>
      <c r="AD4" s="26"/>
      <c r="AE4" s="29"/>
      <c r="AF4" s="43" t="s">
        <v>98</v>
      </c>
      <c r="AN4" s="1957"/>
      <c r="AO4" s="1957"/>
      <c r="AP4" s="1957"/>
      <c r="AQ4" s="1959"/>
      <c r="AR4" s="1957"/>
      <c r="AS4" s="1957"/>
      <c r="AT4" s="1957"/>
      <c r="AU4" s="1957"/>
      <c r="AV4" s="1957"/>
      <c r="AW4" s="1957"/>
      <c r="AX4" s="1957"/>
      <c r="AY4" s="1957"/>
      <c r="AZ4" s="1957"/>
      <c r="BA4" s="1957"/>
      <c r="BB4" s="1957"/>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7"/>
      <c r="AO5" s="1957"/>
      <c r="AP5" s="1957"/>
      <c r="AQ5" s="1957"/>
      <c r="AR5" s="1957"/>
      <c r="AS5" s="1957"/>
      <c r="AT5" s="1957"/>
      <c r="AU5" s="1957"/>
      <c r="AV5" s="1957"/>
      <c r="AW5" s="1957"/>
      <c r="AX5" s="1957"/>
      <c r="AY5" s="1957"/>
      <c r="AZ5" s="1957"/>
      <c r="BA5" s="1957"/>
      <c r="BB5" s="1957"/>
    </row>
    <row r="6">
      <c r="A6" s="918" t="s">
        <v>568</v>
      </c>
      <c r="B6" s="44"/>
      <c r="E6" s="919" t="str">
        <f>Query_Formato!B168</f>
        <v>OPI-25-11-07-OF</v>
      </c>
      <c r="J6" s="45"/>
      <c r="K6" s="45"/>
      <c r="L6" s="45"/>
      <c r="M6" s="45"/>
      <c r="N6" s="45"/>
      <c r="O6" s="45"/>
      <c r="P6" s="45"/>
      <c r="Q6" s="45"/>
      <c r="R6" s="45"/>
      <c r="S6" s="45"/>
      <c r="T6" s="45"/>
      <c r="U6" s="45"/>
      <c r="V6" s="45"/>
      <c r="W6" s="45"/>
      <c r="X6" s="45"/>
      <c r="Y6" s="45"/>
      <c r="Z6" s="45"/>
      <c r="AB6" s="50"/>
      <c r="AC6" s="50"/>
      <c r="AF6" s="50" t="s">
        <v>99</v>
      </c>
      <c r="AG6" s="920">
        <f>TODAY()</f>
        <v>46202</v>
      </c>
      <c r="AM6" s="53"/>
      <c r="AN6" s="1957"/>
      <c r="AO6" s="1957"/>
      <c r="AP6" s="1957"/>
      <c r="AQ6" s="1957"/>
      <c r="AR6" s="1957"/>
      <c r="AS6" s="1957"/>
      <c r="AT6" s="1957"/>
      <c r="AU6" s="1957"/>
      <c r="AV6" s="1957"/>
      <c r="AW6" s="1957"/>
      <c r="AX6" s="1957"/>
      <c r="AY6" s="1957"/>
      <c r="AZ6" s="1957"/>
      <c r="BA6" s="1957"/>
      <c r="BB6" s="1957"/>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7"/>
      <c r="AO7" s="1957"/>
      <c r="AP7" s="1957"/>
      <c r="AQ7" s="1957"/>
      <c r="AR7" s="1957"/>
      <c r="AS7" s="1957"/>
      <c r="AT7" s="1957"/>
      <c r="AU7" s="1957"/>
      <c r="AV7" s="1957"/>
      <c r="AW7" s="1957"/>
      <c r="AX7" s="1957"/>
      <c r="AY7" s="1957"/>
      <c r="AZ7" s="1957"/>
      <c r="BA7" s="1957"/>
      <c r="BB7" s="1957"/>
    </row>
    <row r="8">
      <c r="A8" s="921" t="s">
        <v>569</v>
      </c>
      <c r="E8" s="57"/>
      <c r="V8" s="67"/>
      <c r="W8" s="67"/>
      <c r="X8" s="67"/>
      <c r="Y8" s="55" t="s">
        <v>102</v>
      </c>
      <c r="Z8" s="68" t="str">
        <f>Query_Formato!B156</f>
        <v>Federico Arellano</v>
      </c>
      <c r="AN8" s="1960"/>
      <c r="AO8" s="1960"/>
      <c r="AP8" s="1957"/>
      <c r="AQ8" s="1959"/>
      <c r="AR8" s="1961"/>
      <c r="AS8" s="1957"/>
      <c r="AT8" s="1957"/>
      <c r="AU8" s="1957"/>
      <c r="AV8" s="1957"/>
      <c r="AW8" s="1957"/>
      <c r="AX8" s="1959"/>
      <c r="AY8" s="1957"/>
      <c r="AZ8" s="1957"/>
      <c r="BA8" s="1957"/>
      <c r="BB8" s="1957"/>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0"/>
      <c r="AO9" s="1960"/>
      <c r="AP9" s="1957"/>
      <c r="AQ9" s="1959"/>
      <c r="AR9" s="1961"/>
      <c r="AS9" s="1957"/>
      <c r="AT9" s="1957"/>
      <c r="AU9" s="1957"/>
      <c r="AV9" s="1957"/>
      <c r="AW9" s="1957"/>
      <c r="AX9" s="1959"/>
      <c r="AY9" s="1957"/>
      <c r="AZ9" s="1957"/>
      <c r="BA9" s="1957"/>
      <c r="BB9" s="1957"/>
    </row>
    <row r="10">
      <c r="A10" s="67" t="s">
        <v>101</v>
      </c>
      <c r="B10" s="55"/>
      <c r="C10" s="55"/>
      <c r="D10" s="55"/>
      <c r="E10" s="922" t="str">
        <f>Query_Formato!B9</f>
        <v>Pascal 2164 Colonia San Elias Guadalajara Jalisco 44240</v>
      </c>
      <c r="V10" s="67"/>
      <c r="W10" s="67"/>
      <c r="X10" s="67"/>
      <c r="Y10" s="55" t="s">
        <v>103</v>
      </c>
      <c r="Z10" s="68"/>
      <c r="AN10" s="1962"/>
      <c r="AO10" s="1962"/>
      <c r="AP10" s="1957"/>
      <c r="AQ10" s="1959"/>
      <c r="AR10" s="1961"/>
      <c r="AS10" s="1963"/>
      <c r="AT10" s="1963"/>
      <c r="AU10" s="1963"/>
      <c r="AV10" s="1963"/>
      <c r="AW10" s="1963"/>
      <c r="AX10" s="1959"/>
      <c r="AY10" s="1957"/>
      <c r="AZ10" s="1957"/>
      <c r="BA10" s="1957"/>
      <c r="BB10" s="1957"/>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2"/>
      <c r="AO11" s="1962"/>
      <c r="AP11" s="1957"/>
      <c r="AQ11" s="1959"/>
      <c r="AR11" s="1961"/>
      <c r="AS11" s="1957"/>
      <c r="AT11" s="1957"/>
      <c r="AU11" s="1957"/>
      <c r="AV11" s="1957"/>
      <c r="AW11" s="1957"/>
      <c r="AX11" s="1957"/>
      <c r="AY11" s="1957"/>
      <c r="AZ11" s="1957"/>
      <c r="BA11" s="1957"/>
      <c r="BB11" s="1957"/>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2"/>
      <c r="AO12" s="1962"/>
      <c r="AP12" s="1957"/>
      <c r="AQ12" s="1957"/>
      <c r="AR12" s="1957"/>
      <c r="AS12" s="1957"/>
      <c r="AT12" s="1957"/>
      <c r="AU12" s="1957"/>
      <c r="AV12" s="1957"/>
      <c r="AW12" s="1957"/>
      <c r="AX12" s="1957"/>
      <c r="AY12" s="1957"/>
      <c r="AZ12" s="1957"/>
      <c r="BA12" s="1957"/>
      <c r="BB12" s="1957"/>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2"/>
      <c r="AO13" s="1962"/>
      <c r="AP13" s="1957"/>
      <c r="AQ13" s="1957"/>
      <c r="AR13" s="1957"/>
      <c r="AS13" s="1957"/>
      <c r="AT13" s="1957"/>
      <c r="AU13" s="1957"/>
      <c r="AV13" s="1957"/>
      <c r="AW13" s="1957"/>
      <c r="AX13" s="1957"/>
      <c r="AY13" s="1957"/>
      <c r="AZ13" s="1957"/>
      <c r="BA13" s="1957"/>
      <c r="BB13" s="1957"/>
    </row>
    <row r="14" ht="12.75" customHeight="1">
      <c r="A14" s="927"/>
      <c r="S14" s="928"/>
      <c r="V14" s="927"/>
      <c r="AM14" s="928"/>
      <c r="AN14" s="1962"/>
      <c r="AO14" s="1962"/>
      <c r="AP14" s="1957"/>
      <c r="AQ14" s="1957"/>
      <c r="AR14" s="1957"/>
      <c r="AS14" s="1957"/>
      <c r="AT14" s="1957"/>
      <c r="AU14" s="1957"/>
      <c r="AV14" s="1957"/>
      <c r="AW14" s="1957"/>
      <c r="AX14" s="1957"/>
      <c r="AY14" s="1957"/>
      <c r="AZ14" s="1957"/>
      <c r="BA14" s="1957"/>
      <c r="BB14" s="1957"/>
    </row>
    <row r="15" ht="12.75" customHeight="1">
      <c r="A15" s="927"/>
      <c r="S15" s="928"/>
      <c r="V15" s="927"/>
      <c r="AM15" s="928"/>
      <c r="AN15" s="1962"/>
      <c r="AO15" s="1962"/>
      <c r="AP15" s="1957"/>
      <c r="AQ15" s="1957"/>
      <c r="AR15" s="1957"/>
      <c r="AS15" s="1957"/>
      <c r="AT15" s="1957"/>
      <c r="AU15" s="1957"/>
      <c r="AV15" s="1957"/>
      <c r="AW15" s="1957"/>
      <c r="AX15" s="1957"/>
      <c r="AY15" s="1957"/>
      <c r="AZ15" s="1957"/>
      <c r="BA15" s="1957"/>
      <c r="BB15" s="1957"/>
    </row>
    <row r="16" ht="12.75" customHeight="1">
      <c r="A16" s="927"/>
      <c r="S16" s="928"/>
      <c r="V16" s="927"/>
      <c r="AM16" s="928"/>
      <c r="AN16" s="1962"/>
      <c r="AO16" s="1962"/>
      <c r="AP16" s="1957"/>
      <c r="AQ16" s="1957"/>
      <c r="AR16" s="1957"/>
      <c r="AS16" s="1957"/>
      <c r="AT16" s="1957"/>
      <c r="AU16" s="1957"/>
      <c r="AV16" s="1957"/>
      <c r="AW16" s="1957"/>
      <c r="AX16" s="1957"/>
      <c r="AY16" s="1957"/>
      <c r="AZ16" s="1957"/>
      <c r="BA16" s="1957"/>
      <c r="BB16" s="1957"/>
    </row>
    <row r="17" ht="12.75" customHeight="1">
      <c r="A17" s="927"/>
      <c r="S17" s="928"/>
      <c r="V17" s="927"/>
      <c r="AM17" s="928"/>
      <c r="AN17" s="1962"/>
      <c r="AO17" s="1962"/>
      <c r="AP17" s="1957"/>
      <c r="AQ17" s="1957"/>
      <c r="AR17" s="1957"/>
      <c r="AS17" s="1957"/>
      <c r="AT17" s="1963"/>
      <c r="AZ17" s="1957"/>
      <c r="BA17" s="1957"/>
      <c r="BB17" s="1957"/>
    </row>
    <row r="18" ht="12.75" customHeight="1">
      <c r="A18" s="927"/>
      <c r="S18" s="928"/>
      <c r="V18" s="927"/>
      <c r="AM18" s="928"/>
      <c r="AN18" s="1962"/>
      <c r="AO18" s="1962"/>
      <c r="AP18" s="1957"/>
      <c r="AQ18" s="1957"/>
      <c r="AR18" s="1957"/>
      <c r="AS18" s="1957"/>
      <c r="AT18" s="1957"/>
      <c r="AU18" s="1957"/>
      <c r="AV18" s="1957"/>
      <c r="AW18" s="1957"/>
      <c r="AX18" s="1957"/>
      <c r="AY18" s="1957"/>
      <c r="AZ18" s="1957"/>
      <c r="BA18" s="1957"/>
      <c r="BB18" s="1957"/>
    </row>
    <row r="19" ht="12.75" customHeight="1">
      <c r="A19" s="927"/>
      <c r="S19" s="928"/>
      <c r="V19" s="927"/>
      <c r="AM19" s="928"/>
      <c r="AN19" s="1962"/>
      <c r="AO19" s="1962"/>
      <c r="AP19" s="1957"/>
      <c r="AQ19" s="1957"/>
      <c r="AR19" s="1957"/>
      <c r="AS19" s="1957"/>
      <c r="AT19" s="1957"/>
      <c r="AU19" s="1957"/>
      <c r="AV19" s="1957"/>
      <c r="AW19" s="1957"/>
      <c r="AX19" s="1957"/>
      <c r="AY19" s="1957"/>
      <c r="AZ19" s="1957"/>
      <c r="BA19" s="1957"/>
      <c r="BB19" s="1957"/>
    </row>
    <row r="20" ht="12.75" customHeight="1">
      <c r="A20" s="927"/>
      <c r="S20" s="928"/>
      <c r="V20" s="927"/>
      <c r="AM20" s="928"/>
      <c r="AN20" s="1962"/>
      <c r="AO20" s="1962"/>
      <c r="AP20" s="1957"/>
      <c r="AQ20" s="1957"/>
      <c r="AR20" s="1957"/>
      <c r="AS20" s="1957"/>
      <c r="AT20" s="1957"/>
      <c r="AU20" s="1957"/>
      <c r="AV20" s="1957"/>
      <c r="AW20" s="1957"/>
      <c r="AX20" s="1957"/>
      <c r="AY20" s="1957"/>
      <c r="AZ20" s="1957"/>
      <c r="BA20" s="1957"/>
      <c r="BB20" s="1957"/>
    </row>
    <row r="21" ht="12.75" customHeight="1">
      <c r="A21" s="927"/>
      <c r="S21" s="928"/>
      <c r="V21" s="927"/>
      <c r="AM21" s="928"/>
      <c r="AN21" s="1962"/>
      <c r="AO21" s="1962"/>
      <c r="AP21" s="1957"/>
      <c r="AQ21" s="1957"/>
      <c r="AR21" s="1957"/>
      <c r="AS21" s="1957"/>
      <c r="AT21" s="1957"/>
      <c r="AU21" s="1957"/>
      <c r="AV21" s="1957"/>
      <c r="AW21" s="1957"/>
      <c r="AX21" s="1957"/>
      <c r="AY21" s="1957"/>
      <c r="AZ21" s="1957"/>
      <c r="BA21" s="1957"/>
      <c r="BB21" s="1957"/>
    </row>
    <row r="22" ht="12.75" customHeight="1">
      <c r="A22" s="927"/>
      <c r="S22" s="928"/>
      <c r="V22" s="927"/>
      <c r="AM22" s="928"/>
      <c r="AN22" s="1962"/>
      <c r="AO22" s="1962"/>
      <c r="AP22" s="1957"/>
      <c r="AQ22" s="1957"/>
      <c r="AR22" s="1957"/>
      <c r="AS22" s="1957"/>
      <c r="AT22" s="1957"/>
      <c r="AU22" s="1957"/>
      <c r="AV22" s="1957"/>
      <c r="AW22" s="1957"/>
      <c r="AX22" s="1957"/>
      <c r="AY22" s="1957"/>
      <c r="AZ22" s="1957"/>
      <c r="BA22" s="1957"/>
      <c r="BB22" s="1957"/>
    </row>
    <row r="23" ht="12.75" customHeight="1">
      <c r="A23" s="927"/>
      <c r="S23" s="928"/>
      <c r="V23" s="927"/>
      <c r="AM23" s="928"/>
      <c r="AN23" s="1962"/>
      <c r="AO23" s="1962"/>
      <c r="AP23" s="1957"/>
      <c r="AQ23" s="1957"/>
      <c r="AR23" s="1957"/>
      <c r="AS23" s="1957"/>
      <c r="AT23" s="1957"/>
      <c r="AU23" s="1957"/>
      <c r="AV23" s="1957"/>
      <c r="AW23" s="1957"/>
      <c r="AX23" s="1957"/>
      <c r="AY23" s="1957"/>
      <c r="AZ23" s="1957"/>
      <c r="BA23" s="1957"/>
      <c r="BB23" s="1957"/>
    </row>
    <row r="24" ht="12.75" customHeight="1">
      <c r="A24" s="927"/>
      <c r="S24" s="928"/>
      <c r="V24" s="927"/>
      <c r="AM24" s="928"/>
      <c r="AN24" s="1962"/>
      <c r="AO24" s="1962"/>
      <c r="AP24" s="1957"/>
      <c r="AQ24" s="1957"/>
      <c r="AR24" s="1957"/>
      <c r="AS24" s="1957"/>
      <c r="AT24" s="1957"/>
      <c r="AU24" s="1957"/>
      <c r="AV24" s="1957"/>
      <c r="AW24" s="1957"/>
      <c r="AX24" s="1957"/>
      <c r="AY24" s="1957"/>
      <c r="AZ24" s="1957"/>
      <c r="BA24" s="1957"/>
      <c r="BB24" s="1957"/>
    </row>
    <row r="25" ht="12.75" customHeight="1">
      <c r="A25" s="927"/>
      <c r="S25" s="928"/>
      <c r="V25" s="927"/>
      <c r="AM25" s="928"/>
      <c r="AN25" s="1962"/>
      <c r="AO25" s="1962"/>
      <c r="AP25" s="1957"/>
      <c r="AQ25" s="1957"/>
      <c r="AR25" s="1957"/>
      <c r="AS25" s="1957"/>
      <c r="AT25" s="1957"/>
      <c r="AU25" s="1957"/>
      <c r="AV25" s="1957"/>
      <c r="AW25" s="1957"/>
      <c r="AX25" s="1957"/>
      <c r="AY25" s="1957"/>
      <c r="AZ25" s="1957"/>
      <c r="BA25" s="1957"/>
      <c r="BB25" s="1957"/>
    </row>
    <row r="26" ht="12.75" customHeight="1">
      <c r="A26" s="927"/>
      <c r="S26" s="928"/>
      <c r="V26" s="927"/>
      <c r="AM26" s="928"/>
      <c r="AN26" s="1962"/>
      <c r="AO26" s="1962"/>
      <c r="AP26" s="1957"/>
      <c r="AQ26" s="1957"/>
      <c r="AR26" s="1957"/>
      <c r="AS26" s="1957"/>
      <c r="AT26" s="1957"/>
      <c r="AU26" s="1957"/>
      <c r="AV26" s="1957"/>
      <c r="AW26" s="1957"/>
      <c r="AX26" s="1957"/>
      <c r="AY26" s="1957"/>
      <c r="AZ26" s="1957"/>
      <c r="BA26" s="1957"/>
      <c r="BB26" s="1957"/>
    </row>
    <row r="27" ht="12.75" customHeight="1">
      <c r="A27" s="927"/>
      <c r="S27" s="928"/>
      <c r="V27" s="927"/>
      <c r="AM27" s="928"/>
      <c r="AN27" s="1962"/>
      <c r="AO27" s="1962"/>
      <c r="AP27" s="1957"/>
      <c r="AQ27" s="1957"/>
      <c r="AR27" s="1957"/>
      <c r="AS27" s="1957"/>
      <c r="AT27" s="1957"/>
      <c r="AU27" s="1957"/>
      <c r="AV27" s="1957"/>
      <c r="AW27" s="1957"/>
      <c r="AX27" s="1957"/>
      <c r="AY27" s="1957"/>
      <c r="AZ27" s="1957"/>
      <c r="BA27" s="1957"/>
      <c r="BB27" s="1957"/>
    </row>
    <row r="28" ht="12.75" customHeight="1">
      <c r="A28" s="927"/>
      <c r="S28" s="928"/>
      <c r="V28" s="927"/>
      <c r="AM28" s="928"/>
      <c r="AN28" s="1962"/>
      <c r="AO28" s="1962"/>
      <c r="AP28" s="1957"/>
      <c r="AQ28" s="1957"/>
      <c r="AR28" s="1957"/>
      <c r="AS28" s="1957"/>
      <c r="AT28" s="1957"/>
      <c r="AU28" s="1957"/>
      <c r="AV28" s="1957"/>
      <c r="AW28" s="1957"/>
      <c r="AX28" s="1957"/>
      <c r="AY28" s="1957"/>
      <c r="AZ28" s="1957"/>
      <c r="BA28" s="1957"/>
      <c r="BB28" s="1957"/>
    </row>
    <row r="29" ht="12.75" customHeight="1">
      <c r="A29" s="927"/>
      <c r="S29" s="928"/>
      <c r="V29" s="927"/>
      <c r="AM29" s="928"/>
      <c r="AN29" s="1962"/>
      <c r="AO29" s="1962"/>
      <c r="AP29" s="1957"/>
      <c r="AQ29" s="1957"/>
      <c r="AR29" s="1957"/>
      <c r="AS29" s="1957"/>
      <c r="AT29" s="1957"/>
      <c r="AU29" s="1957"/>
      <c r="AV29" s="1957"/>
      <c r="AW29" s="1957"/>
      <c r="AX29" s="1957"/>
      <c r="AY29" s="1957"/>
      <c r="AZ29" s="1957"/>
      <c r="BA29" s="1957"/>
      <c r="BB29" s="1957"/>
    </row>
    <row r="30" ht="12.75" customHeight="1">
      <c r="A30" s="927"/>
      <c r="S30" s="928"/>
      <c r="V30" s="927"/>
      <c r="AM30" s="928"/>
      <c r="AN30" s="1962"/>
      <c r="AO30" s="1962"/>
      <c r="AP30" s="1957"/>
      <c r="AQ30" s="1957"/>
      <c r="AR30" s="1957"/>
      <c r="AS30" s="1957"/>
      <c r="AT30" s="1957"/>
      <c r="AU30" s="1957"/>
      <c r="AV30" s="1957"/>
      <c r="AW30" s="1957"/>
      <c r="AX30" s="1957"/>
      <c r="AY30" s="1957"/>
      <c r="AZ30" s="1957"/>
      <c r="BA30" s="1957"/>
      <c r="BB30" s="1957"/>
    </row>
    <row r="31" ht="12.75" customHeight="1">
      <c r="A31" s="927"/>
      <c r="S31" s="928"/>
      <c r="V31" s="927"/>
      <c r="AM31" s="928"/>
      <c r="AN31" s="1962"/>
      <c r="AO31" s="1962"/>
      <c r="AP31" s="1957"/>
      <c r="AQ31" s="1957"/>
      <c r="AR31" s="1957"/>
      <c r="AS31" s="1957"/>
      <c r="AT31" s="1957"/>
      <c r="AU31" s="1957"/>
      <c r="AV31" s="1957"/>
      <c r="AW31" s="1957"/>
      <c r="AX31" s="1957"/>
      <c r="AY31" s="1957"/>
      <c r="AZ31" s="1957"/>
      <c r="BA31" s="1957"/>
      <c r="BB31" s="1957"/>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2"/>
      <c r="AO32" s="1962"/>
      <c r="AP32" s="1957"/>
      <c r="AQ32" s="1957"/>
      <c r="AR32" s="1957"/>
      <c r="AS32" s="1957"/>
      <c r="AT32" s="1957"/>
      <c r="AU32" s="1957"/>
      <c r="AV32" s="1957"/>
      <c r="AW32" s="1957"/>
      <c r="AX32" s="1957"/>
      <c r="AY32" s="1957"/>
      <c r="AZ32" s="1957"/>
      <c r="BA32" s="1957"/>
      <c r="BB32" s="1957"/>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2"/>
      <c r="AO33" s="1962"/>
      <c r="AP33" s="1957"/>
      <c r="AQ33" s="1957"/>
      <c r="AR33" s="1957"/>
      <c r="AS33" s="1957"/>
      <c r="AT33" s="1957"/>
      <c r="AU33" s="1957"/>
      <c r="AV33" s="1957"/>
      <c r="AW33" s="1957"/>
      <c r="AX33" s="1957"/>
      <c r="AY33" s="1957"/>
      <c r="AZ33" s="1957"/>
      <c r="BA33" s="1957"/>
      <c r="BB33" s="1957"/>
    </row>
    <row r="34" ht="12.75" customHeight="1">
      <c r="A34" s="933" t="s">
        <v>570</v>
      </c>
      <c r="AN34" s="1962"/>
      <c r="AO34" s="1962"/>
      <c r="AP34" s="1957"/>
      <c r="AQ34" s="1957"/>
      <c r="AR34" s="1957"/>
      <c r="AS34" s="1957"/>
      <c r="AT34" s="1957"/>
      <c r="AU34" s="1957"/>
      <c r="AV34" s="1957"/>
      <c r="AW34" s="1957"/>
      <c r="AX34" s="1957"/>
      <c r="AY34" s="1957"/>
      <c r="AZ34" s="1957"/>
      <c r="BA34" s="1957"/>
      <c r="BB34" s="1957"/>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2"/>
      <c r="AO35" s="1962"/>
      <c r="AP35" s="1957"/>
      <c r="AQ35" s="1957"/>
      <c r="AR35" s="1957"/>
      <c r="AS35" s="1957"/>
      <c r="AT35" s="1957"/>
      <c r="AU35" s="1957"/>
      <c r="AV35" s="1957"/>
      <c r="AW35" s="1957"/>
      <c r="AX35" s="1957"/>
      <c r="AY35" s="1957"/>
      <c r="AZ35" s="1957"/>
      <c r="BA35" s="1957"/>
      <c r="BB35" s="1957"/>
    </row>
    <row r="36" ht="15.0" customHeight="1">
      <c r="A36" s="935" t="s">
        <v>704</v>
      </c>
      <c r="D36" s="936"/>
      <c r="E36" s="936"/>
      <c r="F36" s="936"/>
      <c r="G36" s="936"/>
      <c r="H36" s="936"/>
      <c r="I36" s="936"/>
      <c r="J36" s="936"/>
      <c r="K36" s="936"/>
      <c r="L36" s="936"/>
      <c r="M36" s="941"/>
      <c r="N36" s="1964" t="s">
        <v>705</v>
      </c>
      <c r="O36" s="936"/>
      <c r="P36" s="936"/>
      <c r="S36" s="936"/>
      <c r="T36" s="936"/>
      <c r="U36" s="936"/>
      <c r="V36" s="936"/>
      <c r="W36" s="936"/>
      <c r="X36" s="936"/>
      <c r="Y36" s="936"/>
      <c r="AA36" s="942"/>
      <c r="AB36" s="938" t="s">
        <v>574</v>
      </c>
      <c r="AC36" s="939"/>
      <c r="AD36" s="939"/>
      <c r="AE36" s="943"/>
      <c r="AF36" s="939"/>
      <c r="AG36" s="939"/>
      <c r="AH36" s="939"/>
      <c r="AI36" s="939"/>
      <c r="AJ36" s="939"/>
      <c r="AK36" s="939"/>
      <c r="AN36" s="1962"/>
      <c r="AO36" s="1962"/>
      <c r="AP36" s="1957"/>
      <c r="AQ36" s="1957"/>
      <c r="AR36" s="1957"/>
      <c r="AS36" s="1957"/>
      <c r="AT36" s="1957"/>
      <c r="AU36" s="1957"/>
      <c r="AV36" s="1957"/>
      <c r="AW36" s="1957"/>
      <c r="AX36" s="1957"/>
      <c r="AY36" s="1957"/>
      <c r="AZ36" s="1957"/>
      <c r="BA36" s="1957"/>
      <c r="BB36" s="1957"/>
    </row>
    <row r="37" ht="15.0" customHeight="1">
      <c r="A37" s="944"/>
      <c r="B37" s="936"/>
      <c r="C37" s="936"/>
      <c r="D37" s="936"/>
      <c r="E37" s="936"/>
      <c r="F37" s="936"/>
      <c r="G37" s="1965"/>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2"/>
      <c r="AO37" s="1962"/>
      <c r="AP37" s="1957"/>
      <c r="AQ37" s="1957"/>
      <c r="AR37" s="1957"/>
      <c r="AS37" s="1957"/>
      <c r="AT37" s="1957"/>
      <c r="AU37" s="1957"/>
      <c r="AV37" s="1957"/>
      <c r="AW37" s="1957"/>
      <c r="AX37" s="1957"/>
      <c r="AY37" s="1957"/>
      <c r="AZ37" s="1957"/>
      <c r="BA37" s="1957"/>
      <c r="BB37" s="1957"/>
    </row>
    <row r="38" ht="21.0" customHeight="1">
      <c r="A38" s="946" t="s">
        <v>706</v>
      </c>
      <c r="D38" s="947" t="str">
        <f>D40*1.1</f>
        <v>#DIV/0!</v>
      </c>
      <c r="L38" s="947"/>
      <c r="M38" s="942"/>
      <c r="N38" s="948" t="s">
        <v>281</v>
      </c>
      <c r="O38" s="945"/>
      <c r="P38" s="949"/>
      <c r="Q38" s="947" t="str">
        <f>Q40*1.1</f>
        <v>#DIV/0!</v>
      </c>
      <c r="AA38" s="942"/>
      <c r="AB38" s="948" t="s">
        <v>576</v>
      </c>
      <c r="AC38" s="939"/>
      <c r="AD38" s="939"/>
      <c r="AE38" s="943"/>
      <c r="AF38" s="939"/>
      <c r="AG38" s="939"/>
      <c r="AH38" s="939"/>
      <c r="AI38" s="950" t="str">
        <f>AN111</f>
        <v>#DIV/0!</v>
      </c>
      <c r="AL38" s="959"/>
      <c r="AM38" s="959"/>
      <c r="AN38" s="1962"/>
      <c r="AO38" s="1962"/>
      <c r="AP38" s="1957"/>
      <c r="AQ38" s="1957"/>
      <c r="AR38" s="1957"/>
      <c r="AS38" s="1957"/>
      <c r="AT38" s="1957"/>
      <c r="AU38" s="1957"/>
      <c r="AV38" s="1957"/>
      <c r="AW38" s="1957"/>
      <c r="AX38" s="1957"/>
      <c r="AY38" s="1957"/>
      <c r="AZ38" s="1957"/>
      <c r="BA38" s="1957"/>
      <c r="BB38" s="1957"/>
    </row>
    <row r="39" ht="18.0" customHeight="1">
      <c r="D39" s="951"/>
      <c r="E39" s="952"/>
      <c r="F39" s="1966"/>
      <c r="G39" s="951"/>
      <c r="H39" s="951"/>
      <c r="I39" s="951"/>
      <c r="J39" s="939"/>
      <c r="K39" s="939"/>
      <c r="L39" s="939"/>
      <c r="M39" s="942"/>
      <c r="N39" s="945"/>
      <c r="O39" s="939"/>
      <c r="Q39" s="951"/>
      <c r="R39" s="952"/>
      <c r="S39" s="951"/>
      <c r="T39" s="951"/>
      <c r="U39" s="951"/>
      <c r="V39" s="951"/>
      <c r="W39" s="939"/>
      <c r="X39" s="939"/>
      <c r="Y39" s="939"/>
      <c r="AA39" s="942"/>
      <c r="AB39" s="948" t="s">
        <v>577</v>
      </c>
      <c r="AC39" s="939"/>
      <c r="AD39" s="939"/>
      <c r="AE39" s="953"/>
      <c r="AF39" s="939"/>
      <c r="AG39" s="939"/>
      <c r="AH39" s="939"/>
      <c r="AI39" s="950" t="str">
        <f>AN123</f>
        <v>#DIV/0!</v>
      </c>
      <c r="AL39" s="959"/>
      <c r="AM39" s="959"/>
      <c r="AN39" s="1962"/>
      <c r="AO39" s="1962"/>
      <c r="AP39" s="1957"/>
      <c r="AQ39" s="1957"/>
      <c r="AR39" s="1957"/>
      <c r="AS39" s="1957"/>
      <c r="AT39" s="1957"/>
      <c r="AU39" s="1957"/>
      <c r="AV39" s="1957"/>
      <c r="AW39" s="1957"/>
      <c r="AX39" s="1957"/>
      <c r="AY39" s="1957"/>
      <c r="AZ39" s="1957"/>
      <c r="BA39" s="1957"/>
      <c r="BB39" s="1957"/>
    </row>
    <row r="40">
      <c r="A40" s="946" t="s">
        <v>707</v>
      </c>
      <c r="D40" s="954" t="str">
        <f>ROUND(AJ161,3)</f>
        <v>#DIV/0!</v>
      </c>
      <c r="E40" s="85"/>
      <c r="F40" s="85"/>
      <c r="G40" s="85"/>
      <c r="H40" s="85"/>
      <c r="I40" s="85"/>
      <c r="J40" s="85"/>
      <c r="K40" s="86"/>
      <c r="L40" s="947"/>
      <c r="M40" s="942"/>
      <c r="N40" s="948" t="s">
        <v>579</v>
      </c>
      <c r="O40" s="945"/>
      <c r="P40" s="939"/>
      <c r="Q40" s="954" t="str">
        <f>ROUND(AI166,3)</f>
        <v>#DIV/0!</v>
      </c>
      <c r="R40" s="85"/>
      <c r="S40" s="85"/>
      <c r="T40" s="85"/>
      <c r="U40" s="85"/>
      <c r="V40" s="85"/>
      <c r="W40" s="85"/>
      <c r="X40" s="85"/>
      <c r="Y40" s="86"/>
      <c r="AA40" s="942"/>
      <c r="AB40" s="955" t="s">
        <v>580</v>
      </c>
      <c r="AI40" s="956" t="str">
        <f>AN135</f>
        <v>#DIV/0!</v>
      </c>
      <c r="AL40" s="959"/>
      <c r="AM40" s="959"/>
      <c r="AN40" s="1962"/>
      <c r="AO40" s="1962"/>
      <c r="AP40" s="1957"/>
      <c r="AQ40" s="1957"/>
      <c r="AR40" s="1957"/>
      <c r="AS40" s="1957"/>
      <c r="AT40" s="1957"/>
      <c r="AU40" s="1957"/>
      <c r="AV40" s="1957"/>
      <c r="AW40" s="1957"/>
      <c r="AX40" s="1957"/>
      <c r="AY40" s="1957"/>
      <c r="AZ40" s="1957"/>
      <c r="BA40" s="1957"/>
      <c r="BB40" s="1957"/>
    </row>
    <row r="41">
      <c r="D41" s="951"/>
      <c r="E41" s="957"/>
      <c r="G41" s="1967"/>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2"/>
      <c r="AO41" s="1962"/>
      <c r="AP41" s="1957"/>
      <c r="AQ41" s="1957"/>
      <c r="AR41" s="1957"/>
      <c r="AS41" s="1957"/>
      <c r="AT41" s="1957"/>
      <c r="AU41" s="1957"/>
      <c r="AV41" s="1957"/>
      <c r="AW41" s="1957"/>
      <c r="AX41" s="1957"/>
      <c r="AY41" s="1957"/>
      <c r="AZ41" s="1957"/>
      <c r="BA41" s="1957"/>
      <c r="BB41" s="1957"/>
    </row>
    <row r="42">
      <c r="A42" s="946" t="s">
        <v>708</v>
      </c>
      <c r="D42" s="951" t="str">
        <f>D40*0.9</f>
        <v>#DIV/0!</v>
      </c>
      <c r="L42" s="951"/>
      <c r="M42" s="942"/>
      <c r="N42" s="948" t="s">
        <v>276</v>
      </c>
      <c r="O42" s="945"/>
      <c r="P42" s="939"/>
      <c r="Q42" s="951" t="str">
        <f>Q40*0.9</f>
        <v>#DIV/0!</v>
      </c>
      <c r="AA42" s="942"/>
      <c r="AB42" s="960" t="s">
        <v>582</v>
      </c>
      <c r="AI42" s="950" t="str">
        <f>AN157</f>
        <v>#DIV/0!</v>
      </c>
      <c r="AL42" s="959"/>
      <c r="AM42" s="959"/>
      <c r="AN42" s="1962"/>
      <c r="AO42" s="1962"/>
      <c r="AP42" s="1957"/>
      <c r="AQ42" s="1957"/>
      <c r="AR42" s="1957"/>
      <c r="AS42" s="1957"/>
      <c r="AT42" s="1957"/>
      <c r="AU42" s="1957"/>
      <c r="AV42" s="1957"/>
      <c r="AW42" s="1957"/>
      <c r="AX42" s="1957"/>
      <c r="AY42" s="1957"/>
      <c r="AZ42" s="1957"/>
      <c r="BA42" s="1957"/>
      <c r="BB42" s="1957"/>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244</v>
      </c>
      <c r="AJ43" s="1399" t="str">
        <f>SUM(AI38:AI43)</f>
        <v>#DIV/0!</v>
      </c>
      <c r="AN43" s="1962"/>
      <c r="AO43" s="1962"/>
      <c r="AP43" s="1957"/>
      <c r="AQ43" s="1957"/>
      <c r="AR43" s="1957"/>
      <c r="AS43" s="1957"/>
      <c r="AT43" s="1957"/>
      <c r="AU43" s="1957"/>
      <c r="AV43" s="1957"/>
      <c r="AW43" s="1957"/>
      <c r="AX43" s="1957"/>
      <c r="AY43" s="1957"/>
      <c r="AZ43" s="1957"/>
      <c r="BA43" s="1957"/>
      <c r="BB43" s="1957"/>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2"/>
      <c r="AO44" s="1962"/>
      <c r="AP44" s="1957"/>
      <c r="AQ44" s="1957"/>
      <c r="AR44" s="1957"/>
      <c r="AS44" s="1957"/>
      <c r="AT44" s="1957"/>
      <c r="AU44" s="1957"/>
      <c r="AV44" s="1957"/>
      <c r="AW44" s="1957"/>
      <c r="AX44" s="1957"/>
      <c r="AY44" s="1957"/>
      <c r="AZ44" s="1957"/>
      <c r="BA44" s="1957"/>
      <c r="BB44" s="1957"/>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2"/>
      <c r="AO45" s="1962"/>
      <c r="AP45" s="1957"/>
      <c r="AQ45" s="1957"/>
      <c r="AR45" s="1957"/>
      <c r="AS45" s="1957"/>
      <c r="AT45" s="1957"/>
      <c r="AU45" s="1957"/>
      <c r="AV45" s="1957"/>
      <c r="AW45" s="1957"/>
      <c r="AX45" s="1957"/>
      <c r="AY45" s="1957"/>
      <c r="AZ45" s="1957"/>
      <c r="BA45" s="1957"/>
      <c r="BB45" s="1957"/>
    </row>
    <row r="46">
      <c r="A46" s="974" t="s">
        <v>583</v>
      </c>
      <c r="B46" s="975"/>
      <c r="C46" s="975"/>
      <c r="D46" s="975"/>
      <c r="E46" s="975"/>
      <c r="F46" s="975"/>
      <c r="G46" s="975"/>
      <c r="H46" s="975"/>
      <c r="I46" s="975"/>
      <c r="J46" s="975"/>
      <c r="K46" s="976" t="str">
        <f>AD80</f>
        <v/>
      </c>
      <c r="L46" s="977"/>
      <c r="M46" s="977"/>
      <c r="N46" s="1401" t="s">
        <v>636</v>
      </c>
      <c r="O46" s="975"/>
      <c r="P46" s="977"/>
      <c r="Q46" s="977"/>
      <c r="R46" s="977"/>
      <c r="S46" s="977"/>
      <c r="T46" s="977"/>
      <c r="U46" s="977"/>
      <c r="V46" s="977"/>
      <c r="W46" s="979">
        <f>(AP166*10)/1</f>
        <v>0.04</v>
      </c>
      <c r="AB46" s="980" t="s">
        <v>585</v>
      </c>
      <c r="AC46" s="981"/>
      <c r="AD46" s="982"/>
      <c r="AE46" s="983"/>
      <c r="AF46" s="983"/>
      <c r="AG46" s="983"/>
      <c r="AH46" s="984"/>
      <c r="AI46" s="985"/>
      <c r="AJ46" s="985"/>
      <c r="AK46" s="985"/>
      <c r="AL46" s="986"/>
      <c r="AN46" s="1962"/>
      <c r="AO46" s="1962"/>
      <c r="AP46" s="1957"/>
      <c r="AQ46" s="1957"/>
      <c r="AR46" s="1957"/>
      <c r="AS46" s="1957"/>
      <c r="AT46" s="1957"/>
      <c r="AU46" s="1957"/>
      <c r="AV46" s="1957"/>
      <c r="AW46" s="1957"/>
      <c r="AX46" s="1957"/>
      <c r="AY46" s="1957"/>
      <c r="AZ46" s="1957"/>
      <c r="BA46" s="1957"/>
      <c r="BB46" s="1957"/>
    </row>
    <row r="47" ht="8.25" customHeight="1">
      <c r="A47" s="987"/>
      <c r="K47" s="916"/>
      <c r="L47" s="939"/>
      <c r="M47" s="939"/>
      <c r="N47" s="977"/>
      <c r="O47" s="939"/>
      <c r="P47" s="939"/>
      <c r="Q47" s="939"/>
      <c r="R47" s="939"/>
      <c r="S47" s="939"/>
      <c r="T47" s="939"/>
      <c r="U47" s="939"/>
      <c r="V47" s="939"/>
      <c r="W47" s="939"/>
      <c r="X47" s="939"/>
      <c r="Y47" s="939"/>
      <c r="Z47" s="939"/>
      <c r="AB47" s="1968"/>
      <c r="AL47" s="1969"/>
      <c r="AM47" s="1004"/>
      <c r="AN47" s="1962"/>
      <c r="AO47" s="1962"/>
      <c r="AP47" s="1957"/>
      <c r="AQ47" s="1957"/>
      <c r="AR47" s="1957"/>
      <c r="AS47" s="1957"/>
      <c r="AT47" s="1957"/>
      <c r="AU47" s="1957"/>
      <c r="AV47" s="1957"/>
      <c r="AW47" s="1957"/>
      <c r="AX47" s="1957"/>
      <c r="AY47" s="1957"/>
      <c r="AZ47" s="1957"/>
      <c r="BA47" s="1957"/>
      <c r="BB47" s="1957"/>
    </row>
    <row r="48" ht="12.75" customHeight="1">
      <c r="A48" s="974" t="s">
        <v>586</v>
      </c>
      <c r="I48" s="991" t="str">
        <f>AK86</f>
        <v/>
      </c>
      <c r="L48" s="939"/>
      <c r="M48" s="939"/>
      <c r="N48" s="992" t="s">
        <v>587</v>
      </c>
      <c r="O48" s="993"/>
      <c r="P48" s="965"/>
      <c r="Q48" s="965"/>
      <c r="R48" s="994"/>
      <c r="S48" s="965"/>
      <c r="T48" s="965"/>
      <c r="U48" s="965"/>
      <c r="V48" s="965"/>
      <c r="W48" s="995"/>
      <c r="X48" s="1970" t="str">
        <f>W86</f>
        <v/>
      </c>
      <c r="AB48" s="1971"/>
      <c r="AC48" s="989"/>
      <c r="AD48" s="989"/>
      <c r="AE48" s="989"/>
      <c r="AF48" s="989"/>
      <c r="AG48" s="989"/>
      <c r="AH48" s="989"/>
      <c r="AI48" s="989"/>
      <c r="AJ48" s="989"/>
      <c r="AK48" s="989"/>
      <c r="AL48" s="990"/>
      <c r="AM48" s="1004"/>
      <c r="AN48" s="1957"/>
      <c r="AO48" s="1957"/>
      <c r="AP48" s="1957"/>
      <c r="AQ48" s="1957"/>
      <c r="AR48" s="1957"/>
      <c r="AS48" s="1957"/>
      <c r="AT48" s="1957"/>
      <c r="AU48" s="1957"/>
      <c r="AV48" s="1957"/>
      <c r="AW48" s="1957"/>
      <c r="AX48" s="1957"/>
      <c r="AY48" s="1957"/>
      <c r="AZ48" s="1957"/>
      <c r="BA48" s="1957"/>
      <c r="BB48" s="1957"/>
    </row>
    <row r="49" ht="9.75" customHeight="1">
      <c r="A49" s="1407"/>
      <c r="L49" s="939"/>
      <c r="M49" s="939"/>
      <c r="N49" s="1412"/>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957"/>
      <c r="AO49" s="1957"/>
      <c r="AP49" s="1957"/>
      <c r="AQ49" s="1957"/>
      <c r="AR49" s="1957"/>
      <c r="AS49" s="1957"/>
      <c r="AT49" s="1957"/>
      <c r="AU49" s="1957"/>
      <c r="AV49" s="1957"/>
      <c r="AW49" s="1957"/>
      <c r="AX49" s="1957"/>
      <c r="AY49" s="1957"/>
      <c r="AZ49" s="1957"/>
      <c r="BA49" s="1957"/>
      <c r="BB49" s="1957"/>
    </row>
    <row r="50">
      <c r="A50" s="974" t="s">
        <v>588</v>
      </c>
      <c r="H50" s="1409" t="str">
        <f>AG86</f>
        <v/>
      </c>
      <c r="M50" s="939"/>
      <c r="N50" s="992" t="s">
        <v>589</v>
      </c>
      <c r="O50" s="993"/>
      <c r="P50" s="965"/>
      <c r="Q50" s="965"/>
      <c r="R50" s="999"/>
      <c r="S50" s="965"/>
      <c r="T50" s="965"/>
      <c r="U50" s="965"/>
      <c r="V50" s="965"/>
      <c r="W50" s="1972">
        <f>A86</f>
        <v>7</v>
      </c>
      <c r="AB50" s="1001" t="s">
        <v>629</v>
      </c>
      <c r="AD50" s="939"/>
      <c r="AE50" s="939"/>
      <c r="AF50" s="939"/>
      <c r="AG50" s="939"/>
      <c r="AH50" s="939"/>
      <c r="AI50" s="1003"/>
      <c r="AM50" s="1004"/>
      <c r="AN50" s="1957"/>
      <c r="AO50" s="1957"/>
      <c r="AP50" s="1957"/>
      <c r="AQ50" s="1957"/>
      <c r="AR50" s="1957"/>
      <c r="AS50" s="1957"/>
      <c r="AT50" s="1957"/>
      <c r="AU50" s="1957"/>
      <c r="AV50" s="1957"/>
      <c r="AW50" s="1957"/>
      <c r="AX50" s="1957"/>
      <c r="AY50" s="1957"/>
      <c r="AZ50" s="1957"/>
      <c r="BA50" s="1957"/>
      <c r="BB50" s="1957"/>
    </row>
    <row r="51" ht="9.0" customHeight="1">
      <c r="A51" s="1411"/>
      <c r="L51" s="965"/>
      <c r="M51" s="965"/>
      <c r="N51" s="1412"/>
      <c r="O51" s="993"/>
      <c r="P51" s="965"/>
      <c r="Q51" s="965"/>
      <c r="R51" s="999"/>
      <c r="S51" s="965"/>
      <c r="T51" s="965"/>
      <c r="U51" s="965"/>
      <c r="V51" s="965"/>
      <c r="W51" s="965"/>
      <c r="X51" s="965"/>
      <c r="Y51" s="965"/>
      <c r="Z51" s="965"/>
      <c r="AB51" s="1413"/>
      <c r="AC51" s="965"/>
      <c r="AD51" s="965"/>
      <c r="AE51" s="965"/>
      <c r="AF51" s="965"/>
      <c r="AG51" s="965"/>
      <c r="AH51" s="965"/>
      <c r="AI51" s="965"/>
      <c r="AJ51" s="965"/>
      <c r="AK51" s="965"/>
      <c r="AL51" s="1006"/>
      <c r="AM51" s="1006"/>
      <c r="AN51" s="1957"/>
      <c r="AO51" s="1957"/>
      <c r="AP51" s="1957"/>
      <c r="AQ51" s="1957"/>
      <c r="AR51" s="1957"/>
      <c r="AS51" s="1957"/>
      <c r="AT51" s="1957"/>
      <c r="AU51" s="1957"/>
      <c r="AV51" s="1957"/>
      <c r="AW51" s="1957"/>
      <c r="AX51" s="1957"/>
      <c r="AY51" s="1957"/>
      <c r="AZ51" s="1957"/>
      <c r="BA51" s="1957"/>
      <c r="BB51" s="1957"/>
    </row>
    <row r="52">
      <c r="A52" s="992" t="s">
        <v>576</v>
      </c>
      <c r="I52" s="1005">
        <f>C111</f>
        <v>0</v>
      </c>
      <c r="M52" s="965"/>
      <c r="N52" s="992" t="s">
        <v>591</v>
      </c>
      <c r="O52" s="1006"/>
      <c r="P52" s="1007"/>
      <c r="Q52" s="1007"/>
      <c r="R52" s="999"/>
      <c r="S52" s="965"/>
      <c r="T52" s="965"/>
      <c r="U52" s="965"/>
      <c r="V52" s="965"/>
      <c r="W52" s="1972">
        <f>I86</f>
        <v>53</v>
      </c>
      <c r="AB52" s="1008" t="s">
        <v>592</v>
      </c>
      <c r="AC52" s="965"/>
      <c r="AD52" s="965"/>
      <c r="AE52" s="965"/>
      <c r="AF52" s="965"/>
      <c r="AG52" s="1009"/>
      <c r="AM52" s="1006"/>
      <c r="AN52" s="1957"/>
      <c r="AO52" s="1957"/>
      <c r="AP52" s="1957"/>
      <c r="AQ52" s="1957"/>
      <c r="AR52" s="1957"/>
      <c r="AS52" s="1957"/>
      <c r="AT52" s="1957"/>
      <c r="AU52" s="1957"/>
      <c r="AV52" s="1957"/>
      <c r="AW52" s="1957"/>
      <c r="AX52" s="1957"/>
      <c r="AY52" s="1957"/>
      <c r="AZ52" s="1957"/>
      <c r="BA52" s="1957"/>
      <c r="BB52" s="1957"/>
    </row>
    <row r="53" ht="10.5" customHeight="1">
      <c r="A53" s="1411"/>
      <c r="L53" s="965"/>
      <c r="M53" s="965"/>
      <c r="N53" s="1412"/>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957"/>
      <c r="AO53" s="1957"/>
      <c r="AP53" s="1957"/>
      <c r="AQ53" s="1957"/>
      <c r="AR53" s="1957"/>
      <c r="AS53" s="1957"/>
      <c r="AT53" s="1957"/>
      <c r="AU53" s="1957"/>
      <c r="AV53" s="1957"/>
      <c r="AW53" s="1957"/>
      <c r="AX53" s="1957"/>
      <c r="AY53" s="1957"/>
      <c r="AZ53" s="1957"/>
      <c r="BA53" s="1957"/>
      <c r="BB53" s="1957"/>
    </row>
    <row r="54">
      <c r="A54" s="992" t="s">
        <v>577</v>
      </c>
      <c r="B54" s="993"/>
      <c r="C54" s="965"/>
      <c r="D54" s="965"/>
      <c r="E54" s="994"/>
      <c r="F54" s="965"/>
      <c r="G54" s="965"/>
      <c r="H54" s="965"/>
      <c r="I54" s="1010">
        <f>K123</f>
        <v>0</v>
      </c>
      <c r="M54" s="965"/>
      <c r="N54" s="992" t="s">
        <v>593</v>
      </c>
      <c r="O54" s="1006"/>
      <c r="P54" s="1007"/>
      <c r="Q54" s="1007"/>
      <c r="R54" s="999"/>
      <c r="S54" s="965"/>
      <c r="T54" s="965"/>
      <c r="U54" s="965"/>
      <c r="V54" s="965"/>
      <c r="W54" s="1011" t="str">
        <f>AJ83</f>
        <v/>
      </c>
      <c r="AB54" s="1012" t="s">
        <v>594</v>
      </c>
      <c r="AF54" s="1013"/>
      <c r="AG54" s="1014"/>
      <c r="AM54" s="1006"/>
      <c r="AN54" s="1957"/>
      <c r="AO54" s="1957"/>
      <c r="AP54" s="1957"/>
      <c r="AQ54" s="1957"/>
      <c r="AR54" s="1957"/>
      <c r="AS54" s="1957"/>
      <c r="AT54" s="1957"/>
      <c r="AU54" s="1957"/>
      <c r="AV54" s="1957"/>
      <c r="AW54" s="1957"/>
      <c r="AX54" s="1957"/>
      <c r="AY54" s="1957"/>
      <c r="AZ54" s="1957"/>
      <c r="BA54" s="1957"/>
      <c r="BB54" s="1957"/>
    </row>
    <row r="55" ht="15.0" customHeight="1">
      <c r="A55" s="1973" t="s">
        <v>634</v>
      </c>
      <c r="B55" s="993"/>
      <c r="C55" s="965"/>
      <c r="D55" s="965"/>
      <c r="E55" s="1974"/>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415"/>
      <c r="AC55" s="1415"/>
      <c r="AD55" s="1415"/>
      <c r="AE55" s="1415"/>
      <c r="AF55" s="1416"/>
      <c r="AG55" s="76"/>
      <c r="AH55" s="76"/>
      <c r="AI55" s="76"/>
      <c r="AJ55" s="76"/>
      <c r="AK55" s="76"/>
      <c r="AL55" s="34"/>
      <c r="AM55" s="1006"/>
      <c r="AN55" s="1957"/>
      <c r="AO55" s="1957"/>
      <c r="AP55" s="1957"/>
      <c r="AQ55" s="1957"/>
      <c r="AR55" s="1957"/>
      <c r="AS55" s="1957"/>
      <c r="AT55" s="1957"/>
      <c r="AU55" s="1957"/>
      <c r="AV55" s="1957"/>
      <c r="AW55" s="1957"/>
      <c r="AX55" s="1957"/>
      <c r="AY55" s="1957"/>
      <c r="AZ55" s="1957"/>
      <c r="BA55" s="1957"/>
      <c r="BB55" s="1957"/>
    </row>
    <row r="56">
      <c r="A56" s="933" t="s">
        <v>709</v>
      </c>
      <c r="AN56" s="1957"/>
      <c r="AO56" s="1957"/>
      <c r="AP56" s="1957"/>
      <c r="AQ56" s="1957"/>
      <c r="AR56" s="1957"/>
      <c r="AS56" s="1957"/>
      <c r="AT56" s="1957"/>
      <c r="AU56" s="1957"/>
      <c r="AV56" s="1957"/>
      <c r="AW56" s="1957"/>
      <c r="AX56" s="1957"/>
      <c r="AY56" s="1957"/>
      <c r="AZ56" s="1957"/>
      <c r="BA56" s="1957"/>
      <c r="BB56" s="1957"/>
    </row>
    <row r="57" ht="7.5" customHeight="1">
      <c r="A57" s="1975"/>
      <c r="B57" s="1976"/>
      <c r="D57" s="1977"/>
      <c r="E57" s="1977"/>
      <c r="F57" s="1977"/>
      <c r="G57" s="1977"/>
      <c r="H57" s="1977"/>
      <c r="I57" s="1977"/>
      <c r="J57" s="1977"/>
      <c r="K57" s="1977"/>
      <c r="L57" s="1975"/>
      <c r="M57" s="1975"/>
      <c r="N57" s="1975"/>
      <c r="O57" s="1977"/>
      <c r="P57" s="1977"/>
      <c r="R57" s="1977"/>
      <c r="S57" s="1977"/>
      <c r="T57" s="1977"/>
      <c r="V57" s="1977"/>
      <c r="W57" s="1977"/>
      <c r="X57" s="1977"/>
      <c r="Y57" s="1977"/>
      <c r="Z57" s="1975"/>
      <c r="AA57" s="1975"/>
      <c r="AB57" s="1975"/>
      <c r="AC57" s="1977"/>
      <c r="AD57" s="1977"/>
      <c r="AE57" s="1977"/>
      <c r="AF57" s="1977"/>
      <c r="AG57" s="1977"/>
      <c r="AH57" s="1977"/>
      <c r="AI57" s="1977"/>
      <c r="AJ57" s="1977"/>
      <c r="AK57" s="1977"/>
      <c r="AL57" s="1977"/>
      <c r="AM57" s="1977"/>
      <c r="AN57" s="1957"/>
      <c r="AO57" s="1957"/>
      <c r="AP57" s="1957"/>
      <c r="AQ57" s="1957"/>
      <c r="AR57" s="1957"/>
      <c r="AS57" s="1957"/>
      <c r="AT57" s="1957"/>
      <c r="AU57" s="1957"/>
      <c r="AV57" s="1957"/>
      <c r="AW57" s="1957"/>
      <c r="AX57" s="1957"/>
      <c r="AY57" s="1957"/>
      <c r="AZ57" s="1957"/>
      <c r="BA57" s="1957"/>
      <c r="BB57" s="1957"/>
    </row>
    <row r="58">
      <c r="B58" s="1975" t="s">
        <v>710</v>
      </c>
      <c r="C58" s="1975"/>
      <c r="D58" s="1975"/>
      <c r="E58" s="1975"/>
      <c r="F58" s="1975"/>
      <c r="G58" s="1975"/>
      <c r="H58" s="1975"/>
      <c r="I58" s="1975"/>
      <c r="J58" s="1975"/>
      <c r="K58" s="1975"/>
      <c r="L58" s="1977"/>
      <c r="M58" s="941"/>
      <c r="P58" s="1975" t="s">
        <v>711</v>
      </c>
      <c r="R58" s="1977"/>
      <c r="S58" s="1977"/>
      <c r="T58" s="1977"/>
      <c r="V58" s="1977"/>
      <c r="W58" s="1977"/>
      <c r="X58" s="1977"/>
      <c r="Y58" s="1977"/>
      <c r="Z58" s="1977"/>
      <c r="AA58" s="941"/>
      <c r="AC58" s="1975" t="s">
        <v>712</v>
      </c>
      <c r="AD58" s="1977"/>
      <c r="AE58" s="1977"/>
      <c r="AF58" s="1977"/>
      <c r="AG58" s="1977"/>
      <c r="AH58" s="1977"/>
      <c r="AI58" s="1977"/>
      <c r="AJ58" s="1977"/>
      <c r="AK58" s="1977"/>
      <c r="AL58" s="1977"/>
      <c r="AM58" s="1977"/>
      <c r="AN58" s="1957"/>
      <c r="AO58" s="1957"/>
      <c r="AP58" s="1957"/>
      <c r="AQ58" s="1957"/>
      <c r="AR58" s="1957"/>
      <c r="AS58" s="1957"/>
      <c r="AT58" s="1957"/>
      <c r="AU58" s="1957"/>
      <c r="AV58" s="1957"/>
      <c r="AW58" s="1957"/>
      <c r="AX58" s="1957"/>
      <c r="AY58" s="1957"/>
      <c r="AZ58" s="1957"/>
      <c r="BA58" s="1957"/>
      <c r="BB58" s="1957"/>
    </row>
    <row r="59" ht="15.0" customHeight="1">
      <c r="A59" s="1978" t="str">
        <f t="shared" ref="A59:A60" si="1">IF(B59&lt;&gt;"", IF((COUNTIFS($AP$92:$AP$109, "*"&amp;B59&amp;"*") + COUNTIFS($AR$92:$AR$109, "*"&amp;B59&amp;"*")) &gt; 0, SUMIFS($AO$92:$AO$109, $AP$92:$AP$109, "*"&amp;B59&amp;"*") + SUMIFS($AQ$92:$AQ$109, $AR$92:$AR$109, "*"&amp;B59&amp;"*") + SUMIFS($AT$92:$AT$109, $AU$92:$AU$109, "*"&amp;B59&amp;"*") + SUMIFS($AV$92:$AV$109, $AW$92:$AW$109, "*"&amp;B59&amp;"*"), ""), "")</f>
        <v/>
      </c>
      <c r="B59" s="1979" t="s">
        <v>713</v>
      </c>
      <c r="D59" s="1980"/>
      <c r="E59" s="1980"/>
      <c r="F59" s="1980"/>
      <c r="G59" s="1980"/>
      <c r="H59" s="1980"/>
      <c r="I59" s="1980"/>
      <c r="K59" s="1980"/>
      <c r="L59" s="1980"/>
      <c r="M59" s="1981" t="str">
        <f t="shared" ref="M59:M67" si="2">J140</f>
        <v/>
      </c>
      <c r="O59" s="1982" t="str">
        <f t="shared" ref="O59:O67" si="3">+UPPER(C140)</f>
        <v/>
      </c>
      <c r="Z59" s="965"/>
      <c r="AA59" s="941"/>
      <c r="AB59" s="1983"/>
      <c r="AN59" s="1957"/>
      <c r="AO59" s="1957"/>
      <c r="AP59" s="1957"/>
      <c r="AQ59" s="1957"/>
      <c r="AR59" s="1957"/>
      <c r="AS59" s="1957"/>
      <c r="AT59" s="1957"/>
      <c r="AU59" s="1957"/>
      <c r="AV59" s="1957"/>
      <c r="AW59" s="1957"/>
      <c r="AX59" s="1957"/>
      <c r="AY59" s="1957"/>
      <c r="AZ59" s="1957"/>
      <c r="BA59" s="1957"/>
      <c r="BB59" s="1957"/>
    </row>
    <row r="60">
      <c r="A60" s="1978" t="str">
        <f t="shared" si="1"/>
        <v/>
      </c>
      <c r="B60" s="1979" t="s">
        <v>714</v>
      </c>
      <c r="E60" s="1984"/>
      <c r="I60" s="1984"/>
      <c r="M60" s="1981" t="str">
        <f t="shared" si="2"/>
        <v/>
      </c>
      <c r="O60" s="1982" t="str">
        <f t="shared" si="3"/>
        <v/>
      </c>
      <c r="Z60" s="965"/>
      <c r="AA60" s="942"/>
      <c r="AB60" s="1983"/>
      <c r="AN60" s="1957"/>
      <c r="AO60" s="1957"/>
      <c r="AP60" s="1957"/>
      <c r="AQ60" s="1957"/>
      <c r="AR60" s="1957"/>
      <c r="AS60" s="1957"/>
      <c r="AT60" s="1957"/>
      <c r="AU60" s="1957"/>
      <c r="AV60" s="1957"/>
      <c r="AW60" s="1957"/>
      <c r="AX60" s="1957"/>
      <c r="AY60" s="1957"/>
      <c r="AZ60" s="1957"/>
      <c r="BA60" s="1957"/>
      <c r="BB60" s="1957"/>
    </row>
    <row r="61">
      <c r="A61" s="1978" t="str">
        <f>IF(B61&lt;&gt;"", IF((COUNTIFS($AP$92:$AP$109, "*"&amp;B61&amp;"*") + COUNTIFS($AR$92:$AR$109, "*"&amp;B61&amp;"*")) &gt; 0, SUMIFS($AO$92:$AO$109, $AP$92:$AP$109, "*"&amp;B61&amp;"*") + SUMIFS($AQ$92:$AQ$109, $AR$92:$AR$109, "*"&amp;B61&amp;"*"), ""), "")
</f>
        <v/>
      </c>
      <c r="B61" s="1979" t="s">
        <v>715</v>
      </c>
      <c r="E61" s="1984"/>
      <c r="I61" s="1985"/>
      <c r="J61" s="1986"/>
      <c r="K61" s="1986"/>
      <c r="L61" s="1986"/>
      <c r="M61" s="1981" t="str">
        <f t="shared" si="2"/>
        <v/>
      </c>
      <c r="O61" s="1982" t="str">
        <f t="shared" si="3"/>
        <v/>
      </c>
      <c r="Z61" s="965"/>
      <c r="AA61" s="942"/>
      <c r="AB61" s="1983"/>
      <c r="AN61" s="1957"/>
      <c r="AO61" s="1957"/>
      <c r="AP61" s="1957"/>
      <c r="AQ61" s="1957"/>
      <c r="AR61" s="1957"/>
      <c r="AS61" s="1957"/>
      <c r="AT61" s="1957"/>
      <c r="AU61" s="1957"/>
      <c r="AV61" s="1957"/>
      <c r="AW61" s="1957"/>
      <c r="AX61" s="1957"/>
      <c r="AY61" s="1957"/>
      <c r="AZ61" s="1957"/>
      <c r="BA61" s="1957"/>
      <c r="BB61" s="1957"/>
    </row>
    <row r="62">
      <c r="A62" s="1978" t="str">
        <f t="shared" ref="A62:A67" si="4">IF(B62&lt;&gt;"", IF((COUNTIFS($AP$92:$AP$109, "*"&amp;B62&amp;"*") + COUNTIFS($AR$92:$AR$109, "*"&amp;B62&amp;"*")) &gt; 0, SUMIFS($AO$92:$AO$109, $AP$92:$AP$109, "*"&amp;B62&amp;"*") + SUMIFS($AQ$92:$AQ$109, $AR$92:$AR$109, "*"&amp;B62&amp;"*") + SUMIFS($AT$92:$AT$109, $AU$92:$AU$109, "*"&amp;B62&amp;"*") + SUMIFS($AV$92:$AV$109, $AW$92:$AW$109, "*"&amp;B62&amp;"*"), ""), "")</f>
        <v/>
      </c>
      <c r="B62" s="1979" t="s">
        <v>716</v>
      </c>
      <c r="M62" s="1981" t="str">
        <f t="shared" si="2"/>
        <v/>
      </c>
      <c r="O62" s="1982" t="str">
        <f t="shared" si="3"/>
        <v/>
      </c>
      <c r="Z62" s="965"/>
      <c r="AA62" s="942"/>
      <c r="AB62" s="1983"/>
      <c r="AN62" s="1957"/>
      <c r="AO62" s="1957"/>
      <c r="AP62" s="1957"/>
      <c r="AQ62" s="1957"/>
      <c r="AR62" s="1957"/>
      <c r="AS62" s="1957"/>
      <c r="AT62" s="1957"/>
      <c r="AU62" s="1957"/>
      <c r="AV62" s="1957"/>
      <c r="AW62" s="1957"/>
      <c r="AX62" s="1957"/>
      <c r="AY62" s="1957"/>
      <c r="AZ62" s="1957"/>
      <c r="BA62" s="1957"/>
      <c r="BB62" s="1957"/>
    </row>
    <row r="63">
      <c r="A63" s="1978" t="str">
        <f t="shared" si="4"/>
        <v/>
      </c>
      <c r="B63" s="1979" t="s">
        <v>717</v>
      </c>
      <c r="M63" s="1981" t="str">
        <f t="shared" si="2"/>
        <v/>
      </c>
      <c r="O63" s="1982" t="str">
        <f t="shared" si="3"/>
        <v/>
      </c>
      <c r="Z63" s="965"/>
      <c r="AA63" s="942"/>
      <c r="AB63" s="1983"/>
      <c r="AN63" s="1957"/>
      <c r="AO63" s="1957"/>
      <c r="AP63" s="1957"/>
      <c r="AQ63" s="1957"/>
      <c r="AR63" s="1957"/>
      <c r="AS63" s="1957"/>
      <c r="AT63" s="1957"/>
      <c r="AU63" s="1957"/>
      <c r="AV63" s="1957"/>
      <c r="AW63" s="1957"/>
      <c r="AX63" s="1957"/>
      <c r="AY63" s="1957"/>
      <c r="AZ63" s="1957"/>
      <c r="BA63" s="1957"/>
      <c r="BB63" s="1957"/>
    </row>
    <row r="64">
      <c r="A64" s="1978" t="str">
        <f t="shared" si="4"/>
        <v/>
      </c>
      <c r="B64" s="1979"/>
      <c r="M64" s="1981" t="str">
        <f t="shared" si="2"/>
        <v/>
      </c>
      <c r="O64" s="1982" t="str">
        <f t="shared" si="3"/>
        <v/>
      </c>
      <c r="Z64" s="965"/>
      <c r="AA64" s="942"/>
      <c r="AB64" s="1983"/>
      <c r="AN64" s="1957"/>
      <c r="AO64" s="1957"/>
      <c r="AP64" s="1957"/>
      <c r="AQ64" s="1957"/>
      <c r="AR64" s="1957"/>
      <c r="AS64" s="1957"/>
      <c r="AT64" s="1957"/>
      <c r="AU64" s="1957"/>
      <c r="AV64" s="1957"/>
      <c r="AW64" s="1957"/>
      <c r="AX64" s="1957"/>
      <c r="AY64" s="1957"/>
      <c r="AZ64" s="1957"/>
      <c r="BA64" s="1957"/>
      <c r="BB64" s="1957"/>
    </row>
    <row r="65" hidden="1">
      <c r="A65" s="1987" t="str">
        <f t="shared" si="4"/>
        <v/>
      </c>
      <c r="B65" s="1979"/>
      <c r="M65" s="1981" t="str">
        <f t="shared" si="2"/>
        <v/>
      </c>
      <c r="O65" s="1982" t="str">
        <f t="shared" si="3"/>
        <v/>
      </c>
      <c r="Z65" s="965"/>
      <c r="AA65" s="961"/>
      <c r="AB65" s="1983"/>
      <c r="AN65" s="1957"/>
      <c r="AO65" s="1957"/>
      <c r="AP65" s="1471"/>
      <c r="AQ65" s="1471"/>
      <c r="AR65" s="1471"/>
      <c r="AS65" s="1471"/>
      <c r="AT65" s="1471"/>
      <c r="AU65" s="1471"/>
      <c r="AV65" s="1471"/>
      <c r="AW65" s="1471"/>
      <c r="AX65" s="1957"/>
      <c r="AY65" s="1957"/>
      <c r="AZ65" s="1957"/>
      <c r="BA65" s="1957"/>
      <c r="BB65" s="1957"/>
    </row>
    <row r="66" hidden="1">
      <c r="A66" s="1987" t="str">
        <f t="shared" si="4"/>
        <v/>
      </c>
      <c r="B66" s="1979"/>
      <c r="M66" s="1981" t="str">
        <f t="shared" si="2"/>
        <v/>
      </c>
      <c r="O66" s="1982" t="str">
        <f t="shared" si="3"/>
        <v/>
      </c>
      <c r="Z66" s="965"/>
      <c r="AA66" s="941"/>
      <c r="AB66" s="1983"/>
      <c r="AN66" s="1957"/>
      <c r="AO66" s="1957"/>
      <c r="AP66" s="1471"/>
      <c r="AQ66" s="1957"/>
      <c r="AR66" s="1471"/>
      <c r="AS66" s="1471"/>
      <c r="AT66" s="1471"/>
      <c r="AU66" s="1471"/>
      <c r="AV66" s="1471"/>
      <c r="AW66" s="1471"/>
      <c r="AX66" s="1957"/>
      <c r="AY66" s="1957"/>
      <c r="AZ66" s="1957"/>
      <c r="BA66" s="1957"/>
      <c r="BB66" s="1957"/>
    </row>
    <row r="67" hidden="1">
      <c r="A67" s="1987" t="str">
        <f t="shared" si="4"/>
        <v/>
      </c>
      <c r="B67" s="1979"/>
      <c r="M67" s="1981" t="str">
        <f t="shared" si="2"/>
        <v/>
      </c>
      <c r="O67" s="1982" t="str">
        <f t="shared" si="3"/>
        <v/>
      </c>
      <c r="Z67" s="1006"/>
      <c r="AA67" s="941"/>
      <c r="AB67" s="1983"/>
      <c r="AN67" s="1957"/>
      <c r="AO67" s="1957"/>
      <c r="AP67" s="1957"/>
      <c r="AQ67" s="1957"/>
      <c r="AR67" s="1957"/>
      <c r="AS67" s="1957"/>
      <c r="AT67" s="1957"/>
      <c r="AU67" s="1957"/>
      <c r="AV67" s="1957"/>
      <c r="AW67" s="1957"/>
      <c r="AX67" s="1957"/>
      <c r="AY67" s="1957"/>
      <c r="AZ67" s="1957"/>
      <c r="BA67" s="1957"/>
      <c r="BB67" s="1957"/>
    </row>
    <row r="68" hidden="1">
      <c r="D68" s="1006"/>
      <c r="E68" s="1006"/>
      <c r="F68" s="1006"/>
      <c r="G68" s="1006"/>
      <c r="H68" s="1006"/>
      <c r="I68" s="1006"/>
      <c r="K68" s="1006"/>
      <c r="L68" s="1006"/>
      <c r="M68" s="1006"/>
      <c r="N68" s="1006"/>
      <c r="O68" s="1006"/>
      <c r="P68" s="1006"/>
      <c r="Q68" s="1006"/>
      <c r="R68" s="1006"/>
      <c r="S68" s="34"/>
      <c r="T68" s="34"/>
      <c r="U68" s="34"/>
      <c r="V68" s="34"/>
      <c r="W68" s="34"/>
      <c r="X68" s="34"/>
      <c r="Y68" s="34"/>
      <c r="Z68" s="34"/>
      <c r="AA68" s="34"/>
      <c r="AB68" s="34"/>
      <c r="AC68" s="34"/>
      <c r="AD68" s="88"/>
      <c r="AE68" s="88"/>
      <c r="AF68" s="88"/>
      <c r="AG68" s="88"/>
      <c r="AH68" s="88"/>
      <c r="AI68" s="88"/>
      <c r="AJ68" s="88"/>
      <c r="AK68" s="88"/>
      <c r="AL68" s="88"/>
      <c r="AM68" s="34"/>
      <c r="AN68" s="1957"/>
      <c r="AO68" s="1957"/>
      <c r="AP68" s="1988"/>
      <c r="AQ68" s="1471"/>
      <c r="AR68" s="1957"/>
      <c r="AS68" s="1957"/>
      <c r="AT68" s="1957"/>
      <c r="AU68" s="1957"/>
      <c r="AV68" s="1957"/>
      <c r="AW68" s="1957"/>
      <c r="AX68" s="1957"/>
      <c r="AY68" s="1957"/>
      <c r="AZ68" s="1957"/>
      <c r="BA68" s="1957"/>
      <c r="BB68" s="1957"/>
    </row>
    <row r="69">
      <c r="D69" s="1006"/>
      <c r="E69" s="1006"/>
      <c r="F69" s="1006"/>
      <c r="G69" s="1006"/>
      <c r="H69" s="1006"/>
      <c r="I69" s="1006"/>
      <c r="K69" s="1006"/>
      <c r="L69" s="1006"/>
      <c r="M69" s="1006"/>
      <c r="N69" s="1006"/>
      <c r="O69" s="1006"/>
      <c r="P69" s="1006"/>
      <c r="Q69" s="1006"/>
      <c r="R69" s="1006"/>
      <c r="S69" s="34"/>
      <c r="T69" s="34"/>
      <c r="U69" s="34"/>
      <c r="V69" s="34"/>
      <c r="W69" s="34"/>
      <c r="X69" s="34"/>
      <c r="Y69" s="34"/>
      <c r="Z69" s="34"/>
      <c r="AA69" s="34"/>
      <c r="AB69" s="34"/>
      <c r="AC69" s="34"/>
      <c r="AD69" s="88"/>
      <c r="AM69" s="34"/>
      <c r="AN69" s="1957"/>
      <c r="AO69" s="1957"/>
      <c r="AP69" s="1989" t="s">
        <v>116</v>
      </c>
      <c r="AQ69" s="1990">
        <v>2024.0</v>
      </c>
      <c r="AR69" s="1957"/>
      <c r="AS69" s="1957"/>
      <c r="AT69" s="1957"/>
      <c r="AU69" s="1957"/>
      <c r="AV69" s="1957"/>
      <c r="AW69" s="1957"/>
      <c r="AX69" s="1957"/>
      <c r="AY69" s="1957"/>
      <c r="AZ69" s="1957"/>
      <c r="BA69" s="1957"/>
      <c r="BB69" s="1957"/>
    </row>
    <row r="70" ht="15.0" customHeight="1">
      <c r="A70" s="126" t="s">
        <v>113</v>
      </c>
      <c r="AN70" s="1957"/>
      <c r="AO70" s="1957"/>
      <c r="AP70" s="1991"/>
      <c r="AQ70" s="1991"/>
      <c r="AR70" s="1957"/>
      <c r="AS70" s="1957"/>
      <c r="AT70" s="1957"/>
      <c r="AU70" s="1957"/>
      <c r="AV70" s="1957"/>
      <c r="AW70" s="1957"/>
      <c r="AX70" s="1957"/>
      <c r="AY70" s="1957"/>
      <c r="AZ70" s="1957"/>
      <c r="BA70" s="1957"/>
      <c r="BB70" s="1957"/>
    </row>
    <row r="71">
      <c r="AN71" s="1957"/>
      <c r="AO71" s="1957"/>
      <c r="AP71" s="1446" t="s">
        <v>638</v>
      </c>
      <c r="AQ71" s="1992">
        <v>2019.0</v>
      </c>
      <c r="AR71" s="1957"/>
      <c r="AS71" s="1957"/>
      <c r="AT71" s="1957"/>
      <c r="AU71" s="1957"/>
      <c r="AV71" s="1957"/>
      <c r="AW71" s="1957"/>
      <c r="AX71" s="1957"/>
      <c r="AY71" s="1957"/>
      <c r="AZ71" s="1957"/>
      <c r="BA71" s="1957"/>
      <c r="BB71" s="1957"/>
    </row>
    <row r="72" ht="15.75" customHeight="1">
      <c r="A72" s="90" t="s">
        <v>108</v>
      </c>
      <c r="B72" s="90"/>
      <c r="C72" s="90"/>
      <c r="D72" s="90"/>
      <c r="E72" s="90"/>
      <c r="F72" s="107"/>
      <c r="G72" s="107"/>
      <c r="H72" s="1428" t="str">
        <f>Query_Formato!B31</f>
        <v/>
      </c>
      <c r="I72" s="95"/>
      <c r="J72" s="95"/>
      <c r="K72" s="95"/>
      <c r="L72" s="95"/>
      <c r="M72" s="96"/>
      <c r="O72" s="736" t="s">
        <v>109</v>
      </c>
      <c r="Q72" s="101"/>
      <c r="R72" s="101"/>
      <c r="S72" s="103"/>
      <c r="T72" s="1428" t="str">
        <f>Query_Formato!B30</f>
        <v/>
      </c>
      <c r="U72" s="95"/>
      <c r="V72" s="95"/>
      <c r="W72" s="95"/>
      <c r="X72" s="96"/>
      <c r="Z72" s="1993" t="s">
        <v>718</v>
      </c>
      <c r="AB72" s="1428" t="str">
        <f>Query_Formato!K30</f>
        <v/>
      </c>
      <c r="AC72" s="95"/>
      <c r="AD72" s="95"/>
      <c r="AE72" s="95"/>
      <c r="AF72" s="95"/>
      <c r="AG72" s="96"/>
      <c r="AH72" s="103"/>
      <c r="AI72" s="103"/>
      <c r="AJ72" s="103"/>
      <c r="AN72" s="1957"/>
      <c r="AO72" s="1957"/>
      <c r="AP72" s="1994" t="s">
        <v>129</v>
      </c>
      <c r="AQ72" s="1994">
        <f>+AQ69-AQ71</f>
        <v>5</v>
      </c>
      <c r="AR72" s="1957"/>
      <c r="AS72" s="1957"/>
      <c r="AT72" s="1957"/>
      <c r="AU72" s="1957"/>
      <c r="AV72" s="1957"/>
      <c r="AW72" s="1957"/>
      <c r="AX72" s="1957"/>
      <c r="AY72" s="1957"/>
      <c r="AZ72" s="1957"/>
      <c r="BA72" s="1957"/>
      <c r="BB72" s="1957"/>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7"/>
      <c r="AO73" s="1957"/>
      <c r="AP73" s="1957"/>
      <c r="AQ73" s="1957"/>
      <c r="AR73" s="1957"/>
      <c r="AS73" s="1957"/>
      <c r="AT73" s="1957"/>
      <c r="AU73" s="1957"/>
      <c r="AV73" s="1957"/>
      <c r="AW73" s="1957"/>
      <c r="AX73" s="1957"/>
      <c r="AY73" s="1957"/>
      <c r="AZ73" s="1957"/>
      <c r="BA73" s="1957"/>
      <c r="BB73" s="1957"/>
    </row>
    <row r="74" ht="16.5" customHeight="1">
      <c r="A74" s="90" t="s">
        <v>111</v>
      </c>
      <c r="B74" s="90"/>
      <c r="C74" s="90"/>
      <c r="D74" s="90"/>
      <c r="E74" s="90"/>
      <c r="F74" s="90"/>
      <c r="G74" s="90"/>
      <c r="H74" s="1429"/>
      <c r="I74" s="95"/>
      <c r="J74" s="95"/>
      <c r="K74" s="95"/>
      <c r="L74" s="95"/>
      <c r="M74" s="95"/>
      <c r="N74" s="95"/>
      <c r="O74" s="95"/>
      <c r="P74" s="95"/>
      <c r="Q74" s="96"/>
      <c r="R74" s="106"/>
      <c r="S74" s="118" t="s">
        <v>112</v>
      </c>
      <c r="W74" s="1995"/>
      <c r="X74" s="120"/>
      <c r="Y74" s="120"/>
      <c r="Z74" s="120"/>
      <c r="AA74" s="120"/>
      <c r="AB74" s="120"/>
      <c r="AC74" s="121"/>
      <c r="AF74" s="1996" t="s">
        <v>719</v>
      </c>
      <c r="AG74" s="1997"/>
      <c r="AH74" s="1089"/>
      <c r="AI74" s="1089"/>
      <c r="AJ74" s="1089"/>
      <c r="AK74" s="1089"/>
      <c r="AL74" s="1089"/>
      <c r="AM74" s="169"/>
      <c r="AN74" s="1957"/>
      <c r="AO74" s="1957"/>
      <c r="AP74" s="1957"/>
      <c r="AQ74" s="1957"/>
      <c r="AR74" s="1957"/>
      <c r="AS74" s="1957"/>
      <c r="AT74" s="1957"/>
      <c r="AU74" s="1957"/>
      <c r="AV74" s="1957"/>
      <c r="AW74" s="1957"/>
      <c r="AX74" s="1957"/>
      <c r="AY74" s="1957"/>
      <c r="AZ74" s="1957"/>
      <c r="BA74" s="1957"/>
      <c r="BB74" s="1957"/>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7"/>
      <c r="AO75" s="1998" t="s">
        <v>641</v>
      </c>
      <c r="AP75" s="1957"/>
      <c r="AQ75" s="1999"/>
      <c r="AR75" s="1471"/>
      <c r="AS75" s="1957"/>
      <c r="AT75" s="1957"/>
      <c r="AU75" s="1957"/>
      <c r="AV75" s="1957"/>
      <c r="AW75" s="1957"/>
      <c r="AX75" s="1957"/>
      <c r="AY75" s="1957"/>
      <c r="AZ75" s="1957"/>
      <c r="BA75" s="1957"/>
      <c r="BB75" s="1957"/>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7"/>
      <c r="AO76" s="2000"/>
      <c r="AP76" s="1471"/>
      <c r="AQ76" s="1999"/>
      <c r="AR76" s="1471"/>
      <c r="AS76" s="1471"/>
      <c r="AT76" s="1471"/>
      <c r="AU76" s="1471"/>
      <c r="AV76" s="1471"/>
      <c r="AW76" s="1471"/>
      <c r="AX76" s="1957"/>
      <c r="AY76" s="1957"/>
      <c r="AZ76" s="1957"/>
      <c r="BA76" s="1957"/>
      <c r="BB76" s="1957"/>
    </row>
    <row r="77" ht="12.75" customHeight="1">
      <c r="A77" s="128" t="s">
        <v>114</v>
      </c>
      <c r="D77" s="90"/>
      <c r="E77" s="90"/>
      <c r="F77" s="92"/>
      <c r="G77" s="92"/>
      <c r="H77" s="1435" t="str">
        <f>+CONCATENATE(AQ77," ",AR77,", ",AQ78," ",AR78,", ",AQ79," ",AR79,", ",AQ80," ",AR80,", ",AQ81," ",AR81,", ",AQ82," ",AR82,", ",AQ83," ",AR83,", ",AQ84," ",AR84,", ",AQ85," ",AR85,".", )</f>
        <v>SERVICIOS BÁSICOS: , AGUA POTABLE: , DRENAJE: , ENERGÍA ELÉCTRICA: , GAS: , ALUMBRADO EXTERIOR: , LÍNEAS TELEFÓNICAS: , VIALIDADES: , TRANSPORTE: .</v>
      </c>
      <c r="I77" s="1436"/>
      <c r="J77" s="1436"/>
      <c r="K77" s="1436"/>
      <c r="L77" s="1436"/>
      <c r="M77" s="1436"/>
      <c r="N77" s="1436"/>
      <c r="O77" s="1436"/>
      <c r="P77" s="1436"/>
      <c r="Q77" s="1436"/>
      <c r="R77" s="1436"/>
      <c r="S77" s="1436"/>
      <c r="T77" s="1436"/>
      <c r="U77" s="1436"/>
      <c r="V77" s="1436"/>
      <c r="W77" s="1436"/>
      <c r="X77" s="1436"/>
      <c r="Y77" s="1436"/>
      <c r="Z77" s="1436"/>
      <c r="AA77" s="1436"/>
      <c r="AB77" s="1436"/>
      <c r="AC77" s="1436"/>
      <c r="AD77" s="1436"/>
      <c r="AE77" s="1436"/>
      <c r="AF77" s="1436"/>
      <c r="AG77" s="1436"/>
      <c r="AH77" s="1436"/>
      <c r="AI77" s="1436"/>
      <c r="AJ77" s="1436"/>
      <c r="AK77" s="1436"/>
      <c r="AL77" s="1437"/>
      <c r="AN77" s="1957"/>
      <c r="AO77" s="1462"/>
      <c r="AP77" s="1463"/>
      <c r="AQ77" s="1464" t="s">
        <v>140</v>
      </c>
      <c r="AR77" s="1465"/>
      <c r="AS77" s="1466"/>
      <c r="AT77" s="1467"/>
      <c r="AU77" s="1957"/>
      <c r="AV77" s="1957"/>
      <c r="AW77" s="1957"/>
      <c r="AX77" s="1957"/>
      <c r="AY77" s="1957"/>
      <c r="AZ77" s="1957"/>
      <c r="BA77" s="1957"/>
      <c r="BB77" s="1957"/>
    </row>
    <row r="78" ht="14.25" customHeight="1">
      <c r="A78" s="132"/>
      <c r="B78" s="132"/>
      <c r="C78" s="133"/>
      <c r="D78" s="133"/>
      <c r="E78" s="56"/>
      <c r="F78" s="56"/>
      <c r="G78" s="56"/>
      <c r="H78" s="1438"/>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40"/>
      <c r="AN78" s="1957"/>
      <c r="AO78" s="1470"/>
      <c r="AP78" s="1471"/>
      <c r="AQ78" s="1472" t="s">
        <v>141</v>
      </c>
      <c r="AR78" s="1473"/>
      <c r="AT78" s="1474"/>
      <c r="AU78" s="1957"/>
      <c r="AV78" s="1957"/>
      <c r="AW78" s="1957"/>
      <c r="AX78" s="1957"/>
      <c r="AY78" s="1957"/>
      <c r="AZ78" s="1957"/>
      <c r="BA78" s="1957"/>
      <c r="BB78" s="1957"/>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7"/>
      <c r="AO79" s="1470"/>
      <c r="AP79" s="1471"/>
      <c r="AQ79" s="1472" t="s">
        <v>143</v>
      </c>
      <c r="AR79" s="1473"/>
      <c r="AT79" s="1474"/>
      <c r="AU79" s="1957"/>
      <c r="AV79" s="1957"/>
      <c r="AW79" s="1957"/>
      <c r="AX79" s="1957"/>
      <c r="AY79" s="1957"/>
      <c r="AZ79" s="1957"/>
      <c r="BA79" s="1957"/>
      <c r="BB79" s="1957"/>
    </row>
    <row r="80">
      <c r="A80" s="128" t="s">
        <v>115</v>
      </c>
      <c r="B80" s="132"/>
      <c r="C80" s="133"/>
      <c r="D80" s="133"/>
      <c r="E80" s="56"/>
      <c r="F80" s="56"/>
      <c r="G80" s="56"/>
      <c r="H80" s="2001"/>
      <c r="I80" s="1431"/>
      <c r="J80" s="1431"/>
      <c r="K80" s="1431"/>
      <c r="L80" s="1431"/>
      <c r="M80" s="1431"/>
      <c r="N80" s="1431"/>
      <c r="O80" s="1431"/>
      <c r="P80" s="1431"/>
      <c r="Q80" s="1431"/>
      <c r="R80" s="1431"/>
      <c r="S80" s="1431"/>
      <c r="T80" s="1431"/>
      <c r="U80" s="1431"/>
      <c r="V80" s="1431"/>
      <c r="W80" s="1431"/>
      <c r="X80" s="1432"/>
      <c r="AA80" s="2002"/>
      <c r="AC80" s="2002" t="s">
        <v>720</v>
      </c>
      <c r="AD80" s="2003"/>
      <c r="AE80" s="169"/>
      <c r="AI80" s="2004" t="s">
        <v>721</v>
      </c>
      <c r="AJ80" s="2005"/>
      <c r="AK80" s="120"/>
      <c r="AL80" s="121"/>
      <c r="AN80" s="1957"/>
      <c r="AO80" s="1470"/>
      <c r="AP80" s="1471"/>
      <c r="AQ80" s="1472" t="s">
        <v>144</v>
      </c>
      <c r="AR80" s="1478"/>
      <c r="AT80" s="1474"/>
      <c r="AU80" s="1957"/>
      <c r="AV80" s="1957"/>
      <c r="AW80" s="178"/>
      <c r="AX80" s="122" t="s">
        <v>137</v>
      </c>
      <c r="AY80" s="34"/>
      <c r="AZ80" s="178"/>
      <c r="BA80" s="1957"/>
      <c r="BB80" s="1957"/>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957"/>
      <c r="AO81" s="1470"/>
      <c r="AP81" s="1471"/>
      <c r="AQ81" s="1472" t="s">
        <v>145</v>
      </c>
      <c r="AR81" s="1478"/>
      <c r="AT81" s="1474"/>
      <c r="AU81" s="1957"/>
      <c r="AV81" s="1957"/>
      <c r="AW81" s="190" t="str">
        <f>+CONCATENATE(VLOOKUP(M86,'catalogo 2'!E134:F139,2,FALSE),".",VLOOKUP('OPI Rentas'!R86,'catalogo 2'!G134:H139,2,FALSE),".",VLOOKUP('OPI Rentas'!W86,'catalogo 2'!I134:J142,2,FALSE),".",VLOOKUP('OPI Rentas'!AB86,'catalogo 2'!L134:M142,2,FALSE))</f>
        <v>#N/A</v>
      </c>
      <c r="AX81" s="120"/>
      <c r="AY81" s="120"/>
      <c r="AZ81" s="121"/>
      <c r="BA81" s="1957"/>
      <c r="BB81" s="1957"/>
    </row>
    <row r="82">
      <c r="C82" s="147"/>
      <c r="D82" s="147"/>
      <c r="E82" s="147"/>
      <c r="F82" s="147"/>
      <c r="G82" s="147"/>
      <c r="H82" s="147"/>
      <c r="K82" s="148"/>
      <c r="L82" s="148"/>
      <c r="M82" s="148"/>
      <c r="N82" s="148"/>
      <c r="O82" s="148"/>
      <c r="P82" s="148"/>
      <c r="Q82" s="148"/>
      <c r="R82" s="34"/>
      <c r="S82" s="34"/>
      <c r="T82" s="34"/>
      <c r="U82" s="1442" t="s">
        <v>117</v>
      </c>
      <c r="W82" s="1443" t="s">
        <v>118</v>
      </c>
      <c r="X82" s="148"/>
      <c r="Z82" s="1444" t="s">
        <v>119</v>
      </c>
      <c r="AB82" s="152" t="s">
        <v>120</v>
      </c>
      <c r="AD82" s="148"/>
      <c r="AE82" s="153" t="s">
        <v>121</v>
      </c>
      <c r="AG82" s="2006" t="s">
        <v>722</v>
      </c>
      <c r="AH82" s="155"/>
      <c r="AJ82" s="1445" t="s">
        <v>138</v>
      </c>
      <c r="AK82" s="155"/>
      <c r="AL82" s="155"/>
      <c r="AM82" s="148"/>
      <c r="AN82" s="1957"/>
      <c r="AO82" s="1470"/>
      <c r="AP82" s="1471"/>
      <c r="AQ82" s="1472" t="s">
        <v>146</v>
      </c>
      <c r="AR82" s="1478"/>
      <c r="AT82" s="1474"/>
      <c r="AU82" s="1957"/>
      <c r="AV82" s="1957"/>
      <c r="AW82" s="1957"/>
      <c r="AX82" s="1957"/>
      <c r="AY82" s="1957"/>
      <c r="AZ82" s="1957"/>
      <c r="BA82" s="1957"/>
      <c r="BB82" s="1957"/>
    </row>
    <row r="83" ht="24.75" customHeight="1">
      <c r="A83" s="147" t="s">
        <v>126</v>
      </c>
      <c r="B83" s="147"/>
      <c r="C83" s="147"/>
      <c r="D83" s="147"/>
      <c r="E83" s="159" t="s">
        <v>127</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7">
        <f>VLOOKUP(E83,'catalogo 2'!L4:AI84,14,0)</f>
        <v>0.4</v>
      </c>
      <c r="V83" s="121"/>
      <c r="W83" s="1068">
        <f>VLOOKUP(E83,'catalogo 2'!L4:AI84,16,0)</f>
        <v>0.8</v>
      </c>
      <c r="X83" s="121"/>
      <c r="Z83" s="164">
        <f>VLOOKUP(E83,'catalogo 2'!L4:AI84,11,0)</f>
        <v>20</v>
      </c>
      <c r="AA83" s="120"/>
      <c r="AB83" s="166" t="str">
        <f>VLOOKUP(E83,'catalogo 2'!L4:AI84,10,0)</f>
        <v>600 m2</v>
      </c>
      <c r="AC83" s="121"/>
      <c r="AD83" s="148"/>
      <c r="AE83" s="1069">
        <f>VLOOKUP(E83,'catalogo 2'!L4:AI84,18,0)</f>
        <v>4</v>
      </c>
      <c r="AF83" s="121"/>
      <c r="AG83" s="1997"/>
      <c r="AH83" s="169"/>
      <c r="AJ83" s="2007"/>
      <c r="AK83" s="1089"/>
      <c r="AL83" s="169"/>
      <c r="AM83" s="148"/>
      <c r="AN83" s="1957"/>
      <c r="AO83" s="1470"/>
      <c r="AP83" s="1471"/>
      <c r="AQ83" s="1472" t="s">
        <v>147</v>
      </c>
      <c r="AR83" s="1478"/>
      <c r="AT83" s="1474"/>
      <c r="AU83" s="2008"/>
      <c r="AV83" s="2008"/>
      <c r="AW83" s="2008"/>
      <c r="AX83" s="1957"/>
      <c r="AY83" s="1957"/>
      <c r="AZ83" s="1957"/>
      <c r="BA83" s="1957"/>
      <c r="BB83" s="1957"/>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7"/>
      <c r="AO84" s="1470"/>
      <c r="AP84" s="1471"/>
      <c r="AQ84" s="1472" t="s">
        <v>149</v>
      </c>
      <c r="AR84" s="1479"/>
      <c r="AT84" s="1474"/>
      <c r="AU84" s="2008"/>
      <c r="AV84" s="2008"/>
      <c r="AW84" s="2008"/>
      <c r="AX84" s="1957"/>
      <c r="AY84" s="1957"/>
      <c r="AZ84" s="1957"/>
      <c r="BA84" s="1957"/>
      <c r="BB84" s="1957"/>
    </row>
    <row r="85" ht="9.0" customHeight="1">
      <c r="A85" s="122" t="s">
        <v>130</v>
      </c>
      <c r="B85" s="122"/>
      <c r="C85" s="122"/>
      <c r="D85" s="122"/>
      <c r="E85" s="176"/>
      <c r="F85" s="177" t="s">
        <v>131</v>
      </c>
      <c r="I85" s="122" t="s">
        <v>132</v>
      </c>
      <c r="J85" s="122"/>
      <c r="K85" s="122"/>
      <c r="M85" s="122" t="s">
        <v>133</v>
      </c>
      <c r="N85" s="122"/>
      <c r="O85" s="122"/>
      <c r="P85" s="122"/>
      <c r="S85" s="122" t="s">
        <v>134</v>
      </c>
      <c r="U85" s="122"/>
      <c r="X85" s="122" t="s">
        <v>135</v>
      </c>
      <c r="Y85" s="178"/>
      <c r="Z85" s="178"/>
      <c r="AC85" s="178" t="s">
        <v>136</v>
      </c>
      <c r="AD85" s="178"/>
      <c r="AE85" s="178"/>
      <c r="AF85" s="152" t="s">
        <v>723</v>
      </c>
      <c r="AJ85" s="2009" t="s">
        <v>724</v>
      </c>
      <c r="AN85" s="1957"/>
      <c r="AO85" s="1482"/>
      <c r="AP85" s="1483"/>
      <c r="AQ85" s="1484" t="s">
        <v>150</v>
      </c>
      <c r="AR85" s="2010"/>
      <c r="AS85" s="1486"/>
      <c r="AT85" s="1487"/>
      <c r="AU85" s="2008"/>
      <c r="AV85" s="2008"/>
      <c r="AW85" s="2008"/>
      <c r="AX85" s="1957"/>
      <c r="AY85" s="1957"/>
      <c r="AZ85" s="1957"/>
      <c r="BA85" s="1957"/>
      <c r="BB85" s="1957"/>
    </row>
    <row r="86">
      <c r="A86" s="180">
        <f>YEAR(TODAY()) - AQ71
</f>
        <v>7</v>
      </c>
      <c r="B86" s="95"/>
      <c r="C86" s="95"/>
      <c r="D86" s="96"/>
      <c r="E86" s="181"/>
      <c r="F86" s="182">
        <f>IF(OR(R86="MEDIO",R86="SUPERIOR",R86="LUJO"),70,60)</f>
        <v>60</v>
      </c>
      <c r="G86" s="183"/>
      <c r="H86" s="92"/>
      <c r="I86" s="180">
        <f>IF(OR(R86="MEDIO",R86="SUPERIOR",R86="LUJO"),70,60)-A86</f>
        <v>53</v>
      </c>
      <c r="J86" s="95"/>
      <c r="K86" s="96"/>
      <c r="M86" s="184" t="str">
        <f>VLOOKUP(A86,'catalogo 2'!C124:F132,4)</f>
        <v>MODERNO 2</v>
      </c>
      <c r="N86" s="185"/>
      <c r="O86" s="185"/>
      <c r="P86" s="183"/>
      <c r="Q86" s="92"/>
      <c r="R86" s="2011"/>
      <c r="S86" s="120"/>
      <c r="T86" s="120"/>
      <c r="U86" s="121"/>
      <c r="W86" s="2012"/>
      <c r="X86" s="120"/>
      <c r="Y86" s="120"/>
      <c r="Z86" s="121"/>
      <c r="AB86" s="2013"/>
      <c r="AC86" s="120"/>
      <c r="AD86" s="120"/>
      <c r="AE86" s="120"/>
      <c r="AF86" s="189"/>
      <c r="AG86" s="2014"/>
      <c r="AH86" s="1089"/>
      <c r="AI86" s="169"/>
      <c r="AJ86" s="2015"/>
      <c r="AK86" s="1071"/>
      <c r="AL86" s="169"/>
      <c r="AN86" s="1957"/>
      <c r="AO86" s="1471"/>
      <c r="AP86" s="1471"/>
      <c r="AQ86" s="1957"/>
      <c r="AR86" s="1957"/>
      <c r="AS86" s="1957"/>
      <c r="AT86" s="1957"/>
      <c r="AU86" s="2008"/>
      <c r="AV86" s="2008"/>
      <c r="AW86" s="2008"/>
      <c r="AX86" s="1957"/>
      <c r="AY86" s="1957"/>
      <c r="AZ86" s="1957"/>
      <c r="BA86" s="1957"/>
      <c r="BB86" s="1957"/>
    </row>
    <row r="87" ht="6.0" customHeight="1">
      <c r="A87" s="2016"/>
      <c r="B87" s="2016"/>
      <c r="C87" s="2016"/>
      <c r="D87" s="2016"/>
      <c r="E87" s="181"/>
      <c r="F87" s="2017"/>
      <c r="G87" s="2017"/>
      <c r="H87" s="92"/>
      <c r="I87" s="2018"/>
      <c r="J87" s="2018"/>
      <c r="K87" s="2018"/>
      <c r="L87" s="2018"/>
      <c r="M87" s="2018"/>
      <c r="N87" s="2018"/>
      <c r="O87" s="2018"/>
      <c r="P87" s="2018"/>
      <c r="Q87" s="92"/>
      <c r="R87" s="2019"/>
      <c r="S87" s="103"/>
      <c r="T87" s="103"/>
      <c r="U87" s="92"/>
      <c r="V87" s="34"/>
      <c r="W87" s="2020"/>
      <c r="X87" s="92"/>
      <c r="Y87" s="92"/>
      <c r="Z87" s="2021"/>
      <c r="AA87" s="2021"/>
      <c r="AB87" s="2021"/>
      <c r="AC87" s="2021"/>
      <c r="AD87" s="2021"/>
      <c r="AE87" s="2021"/>
      <c r="AF87" s="2021"/>
      <c r="AG87" s="196"/>
      <c r="AH87" s="196"/>
      <c r="AI87" s="196"/>
      <c r="AJ87" s="196"/>
      <c r="AK87" s="191"/>
      <c r="AL87" s="506"/>
      <c r="AM87" s="2022"/>
      <c r="AN87" s="1471"/>
      <c r="AO87" s="2023" t="s">
        <v>725</v>
      </c>
      <c r="AP87" s="2023" t="s">
        <v>104</v>
      </c>
      <c r="AQ87" s="2024" t="s">
        <v>726</v>
      </c>
      <c r="AR87" s="1957"/>
      <c r="AS87" s="1957"/>
      <c r="AT87" s="1957"/>
      <c r="AU87" s="1957"/>
      <c r="AV87" s="1957"/>
      <c r="AW87" s="1957"/>
      <c r="AX87" s="1471"/>
      <c r="AY87" s="1471"/>
      <c r="AZ87" s="1471"/>
      <c r="BA87" s="1471"/>
      <c r="BB87" s="1471"/>
      <c r="BC87" s="34"/>
      <c r="BD87" s="34"/>
      <c r="BE87" s="34"/>
      <c r="BF87" s="34"/>
      <c r="BG87" s="34"/>
      <c r="BH87" s="34"/>
      <c r="BI87" s="34"/>
      <c r="BJ87" s="34"/>
      <c r="BK87" s="34"/>
      <c r="BL87" s="34"/>
      <c r="BM87" s="34"/>
      <c r="BN87" s="34"/>
      <c r="BO87" s="34"/>
      <c r="BP87" s="34"/>
      <c r="BQ87" s="34"/>
      <c r="BR87" s="34"/>
    </row>
    <row r="88" ht="19.5" customHeight="1">
      <c r="A88" s="2025" t="s">
        <v>139</v>
      </c>
      <c r="B88" s="198"/>
      <c r="D88" s="197"/>
      <c r="E88" s="101"/>
      <c r="F88" s="101"/>
      <c r="G88" s="101"/>
      <c r="H88" s="101"/>
      <c r="I88" s="2026"/>
      <c r="V88" s="2025"/>
      <c r="X88" s="2027" t="str">
        <f>VLOOKUP("3.jp*g",Fotos!$A$2:$E444,5,FALSE)</f>
        <v/>
      </c>
      <c r="AN88" s="2028"/>
      <c r="AO88" s="1957"/>
      <c r="AP88" s="1957"/>
      <c r="AQ88" s="1957"/>
      <c r="AR88" s="1957"/>
      <c r="AS88" s="1957"/>
      <c r="AT88" s="1957"/>
      <c r="AU88" s="1471"/>
      <c r="AV88" s="1957"/>
      <c r="AW88" s="1957"/>
      <c r="AX88" s="1957"/>
      <c r="AY88" s="1957"/>
      <c r="AZ88" s="1957"/>
      <c r="BA88" s="1957"/>
      <c r="BB88" s="1957"/>
    </row>
    <row r="89" ht="15.0" customHeight="1">
      <c r="A89" s="198"/>
      <c r="B89" s="198"/>
      <c r="C89" s="34"/>
      <c r="D89" s="200"/>
      <c r="E89" s="200"/>
      <c r="F89" s="200"/>
      <c r="G89" s="200"/>
      <c r="H89" s="200"/>
      <c r="I89" s="200"/>
      <c r="J89" s="200"/>
      <c r="K89" s="200"/>
      <c r="L89" s="200"/>
      <c r="M89" s="200"/>
      <c r="N89" s="200"/>
      <c r="O89" s="200"/>
      <c r="P89" s="200"/>
      <c r="Q89" s="200"/>
      <c r="R89" s="200"/>
      <c r="S89" s="2029"/>
      <c r="T89" s="1668"/>
      <c r="U89" s="2030"/>
      <c r="AN89" s="2028"/>
      <c r="AO89" s="2031" t="s">
        <v>727</v>
      </c>
      <c r="AP89" s="2032"/>
      <c r="AQ89" s="2032"/>
      <c r="AR89" s="2032"/>
      <c r="AS89" s="2032"/>
      <c r="AT89" s="2032"/>
      <c r="AU89" s="2032"/>
      <c r="AV89" s="2032"/>
      <c r="AW89" s="2033"/>
      <c r="AX89" s="1957"/>
      <c r="AY89" s="1957"/>
      <c r="AZ89" s="1957"/>
      <c r="BA89" s="1957"/>
      <c r="BB89" s="1957"/>
    </row>
    <row r="90" ht="12.75" customHeight="1">
      <c r="A90" s="2034" t="s">
        <v>728</v>
      </c>
      <c r="D90" s="213"/>
      <c r="E90" s="1475"/>
      <c r="G90" s="1093"/>
      <c r="H90" s="1476"/>
      <c r="AN90" s="2028"/>
      <c r="AO90" s="2035"/>
      <c r="AP90" s="2036"/>
      <c r="AQ90" s="2035"/>
      <c r="AR90" s="2037"/>
      <c r="AS90" s="2036"/>
      <c r="AT90" s="2035"/>
      <c r="AU90" s="2036"/>
      <c r="AV90" s="2035"/>
      <c r="AW90" s="2036"/>
      <c r="AX90" s="1957"/>
      <c r="AY90" s="1957"/>
      <c r="AZ90" s="1957"/>
      <c r="BA90" s="1957"/>
      <c r="BB90" s="1957"/>
    </row>
    <row r="91" ht="15.0" customHeight="1">
      <c r="A91" s="212" t="str">
        <f>IF($A$90="norte","Sur","Sureste")</f>
        <v>Sureste</v>
      </c>
      <c r="D91" s="217"/>
      <c r="E91" s="1475" t="str">
        <f>IF(E90&lt;&gt;"", E90, "")</f>
        <v/>
      </c>
      <c r="G91" s="1095"/>
      <c r="H91" s="1476"/>
      <c r="AN91" s="2028"/>
      <c r="AO91" s="2038" t="s">
        <v>729</v>
      </c>
      <c r="AP91" s="2039" t="s">
        <v>730</v>
      </c>
      <c r="AQ91" s="2038" t="s">
        <v>729</v>
      </c>
      <c r="AR91" s="2039" t="s">
        <v>730</v>
      </c>
      <c r="AS91" s="2040"/>
      <c r="AT91" s="2038" t="s">
        <v>729</v>
      </c>
      <c r="AU91" s="2041" t="s">
        <v>730</v>
      </c>
      <c r="AV91" s="2039" t="s">
        <v>729</v>
      </c>
      <c r="AW91" s="2041" t="s">
        <v>730</v>
      </c>
      <c r="AX91" s="1957"/>
      <c r="AY91" s="1957"/>
      <c r="AZ91" s="1957"/>
      <c r="BA91" s="1957"/>
      <c r="BB91" s="1957"/>
    </row>
    <row r="92" ht="15.0" customHeight="1">
      <c r="A92" s="212" t="str">
        <f>IF($A$90="norte","Este","Noroeste")</f>
        <v>Noroeste</v>
      </c>
      <c r="D92" s="217"/>
      <c r="E92" s="1475"/>
      <c r="G92" s="1095"/>
      <c r="H92" s="1476"/>
      <c r="AN92" s="2028"/>
      <c r="AO92" s="2042"/>
      <c r="AP92" s="2043"/>
      <c r="AQ92" s="2042"/>
      <c r="AR92" s="2043"/>
      <c r="AT92" s="2042"/>
      <c r="AU92" s="2044"/>
      <c r="AV92" s="2042"/>
      <c r="AW92" s="2044"/>
      <c r="AX92" s="1957"/>
      <c r="AY92" s="1957"/>
      <c r="AZ92" s="1957"/>
      <c r="BA92" s="1957"/>
      <c r="BB92" s="1957"/>
    </row>
    <row r="93" ht="15.0" customHeight="1">
      <c r="A93" s="212" t="str">
        <f>IF($A$90="norte","Oeste","Suroeste")</f>
        <v>Suroeste</v>
      </c>
      <c r="D93" s="217"/>
      <c r="E93" s="1475" t="str">
        <f>IF(E92&lt;&gt;"", E92, "")</f>
        <v/>
      </c>
      <c r="G93" s="1095"/>
      <c r="H93" s="1476"/>
      <c r="AN93" s="2028"/>
      <c r="AO93" s="2042"/>
      <c r="AP93" s="2043"/>
      <c r="AQ93" s="2042"/>
      <c r="AR93" s="2045"/>
      <c r="AS93" s="1858"/>
      <c r="AT93" s="2042"/>
      <c r="AU93" s="2044"/>
      <c r="AV93" s="2042"/>
      <c r="AW93" s="2044"/>
      <c r="AX93" s="1957"/>
      <c r="AY93" s="1957"/>
      <c r="AZ93" s="1957"/>
      <c r="BA93" s="1957"/>
      <c r="BB93" s="1957"/>
    </row>
    <row r="94" ht="15.0" customHeight="1">
      <c r="S94" s="1043"/>
      <c r="T94" s="1043"/>
      <c r="U94" s="1043"/>
      <c r="AN94" s="2028"/>
      <c r="AO94" s="2042"/>
      <c r="AP94" s="2043"/>
      <c r="AQ94" s="2042"/>
      <c r="AR94" s="2045"/>
      <c r="AS94" s="1858"/>
      <c r="AT94" s="2042"/>
      <c r="AU94" s="2044"/>
      <c r="AV94" s="2042"/>
      <c r="AW94" s="2044"/>
      <c r="AX94" s="2008"/>
      <c r="AY94" s="2008"/>
      <c r="AZ94" s="2008"/>
      <c r="BA94" s="2008"/>
      <c r="BB94" s="2008"/>
      <c r="BC94" s="224"/>
      <c r="BD94" s="224"/>
      <c r="BE94" s="224"/>
      <c r="BF94" s="224"/>
      <c r="BG94" s="224"/>
      <c r="BH94" s="224"/>
    </row>
    <row r="95" ht="12.0" customHeight="1">
      <c r="A95" s="44" t="s">
        <v>148</v>
      </c>
      <c r="R95" s="220"/>
      <c r="S95" s="1043"/>
      <c r="T95" s="1043"/>
      <c r="U95" s="1043"/>
      <c r="AN95" s="2028"/>
      <c r="AO95" s="2042"/>
      <c r="AP95" s="2043"/>
      <c r="AQ95" s="2042"/>
      <c r="AR95" s="2046"/>
      <c r="AS95" s="1858"/>
      <c r="AT95" s="2042"/>
      <c r="AU95" s="2044"/>
      <c r="AV95" s="2042"/>
      <c r="AW95" s="2044"/>
      <c r="AX95" s="2008"/>
      <c r="AY95" s="2008"/>
      <c r="AZ95" s="2008"/>
      <c r="BA95" s="2008"/>
      <c r="BB95" s="2008"/>
      <c r="BC95" s="224"/>
      <c r="BD95" s="224"/>
      <c r="BE95" s="224"/>
      <c r="BF95" s="224"/>
      <c r="BG95" s="224"/>
      <c r="BH95" s="224"/>
      <c r="BI95" s="34"/>
      <c r="BJ95" s="34"/>
      <c r="BK95" s="34"/>
      <c r="BL95" s="34"/>
      <c r="BM95" s="34"/>
      <c r="BN95" s="34"/>
      <c r="BO95" s="34"/>
      <c r="BP95" s="34"/>
      <c r="BQ95" s="34"/>
      <c r="BR95" s="34"/>
    </row>
    <row r="96" ht="11.25" customHeight="1">
      <c r="A96" s="2047"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8"/>
      <c r="AO96" s="2042"/>
      <c r="AP96" s="2043"/>
      <c r="AQ96" s="2042"/>
      <c r="AR96" s="2046"/>
      <c r="AS96" s="1858"/>
      <c r="AT96" s="2042"/>
      <c r="AU96" s="2044"/>
      <c r="AV96" s="2042"/>
      <c r="AW96" s="2044"/>
      <c r="AX96" s="2008"/>
      <c r="AY96" s="2008"/>
      <c r="AZ96" s="2008"/>
      <c r="BA96" s="2008"/>
      <c r="BB96" s="2008"/>
      <c r="BC96" s="224"/>
      <c r="BD96" s="224"/>
      <c r="BE96" s="224"/>
      <c r="BF96" s="224"/>
      <c r="BG96" s="224"/>
      <c r="BH96" s="224"/>
    </row>
    <row r="97" ht="13.5" customHeight="1">
      <c r="AN97" s="2028"/>
      <c r="AO97" s="2042"/>
      <c r="AP97" s="2043"/>
      <c r="AQ97" s="2042"/>
      <c r="AR97" s="2046"/>
      <c r="AS97" s="1858"/>
      <c r="AT97" s="2042"/>
      <c r="AU97" s="2044"/>
      <c r="AV97" s="2042"/>
      <c r="AW97" s="2044"/>
      <c r="AX97" s="2008"/>
      <c r="AY97" s="2008"/>
      <c r="AZ97" s="2008"/>
      <c r="BA97" s="2008"/>
      <c r="BB97" s="2008"/>
      <c r="BC97" s="224"/>
      <c r="BD97" s="224"/>
      <c r="BE97" s="224"/>
      <c r="BF97" s="224"/>
      <c r="BG97" s="224"/>
      <c r="BH97" s="224"/>
    </row>
    <row r="98" ht="14.25" customHeight="1">
      <c r="AN98" s="2028"/>
      <c r="AO98" s="2042"/>
      <c r="AP98" s="2043"/>
      <c r="AQ98" s="2042"/>
      <c r="AR98" s="2043"/>
      <c r="AT98" s="2042"/>
      <c r="AU98" s="2044"/>
      <c r="AV98" s="2042"/>
      <c r="AW98" s="2044"/>
      <c r="AX98" s="2008"/>
      <c r="AY98" s="2008"/>
      <c r="AZ98" s="2008"/>
      <c r="BA98" s="2008"/>
      <c r="BB98" s="2008"/>
      <c r="BC98" s="224"/>
      <c r="BD98" s="224"/>
      <c r="BE98" s="224"/>
      <c r="BF98" s="224"/>
      <c r="BG98" s="224"/>
      <c r="BH98" s="224"/>
    </row>
    <row r="99" ht="12.0" customHeight="1">
      <c r="AN99" s="1957"/>
      <c r="AO99" s="2042"/>
      <c r="AP99" s="2043"/>
      <c r="AQ99" s="2042"/>
      <c r="AR99" s="2046"/>
      <c r="AS99" s="1858"/>
      <c r="AT99" s="2042"/>
      <c r="AU99" s="2044"/>
      <c r="AV99" s="2042"/>
      <c r="AW99" s="2044"/>
      <c r="AX99" s="2008"/>
      <c r="AY99" s="2008"/>
      <c r="AZ99" s="2008"/>
      <c r="BA99" s="2008"/>
      <c r="BB99" s="2008"/>
      <c r="BC99" s="224"/>
      <c r="BD99" s="224"/>
      <c r="BE99" s="224"/>
      <c r="BF99" s="224"/>
      <c r="BG99" s="224"/>
      <c r="BH99" s="224"/>
    </row>
    <row r="100">
      <c r="AN100" s="1957"/>
      <c r="AO100" s="2042"/>
      <c r="AP100" s="2048"/>
      <c r="AQ100" s="2042"/>
      <c r="AR100" s="2046"/>
      <c r="AS100" s="1858"/>
      <c r="AT100" s="2042"/>
      <c r="AU100" s="2044"/>
      <c r="AV100" s="2042"/>
      <c r="AW100" s="2044"/>
      <c r="AX100" s="2008"/>
      <c r="AY100" s="2008"/>
      <c r="AZ100" s="2008"/>
      <c r="BA100" s="2008"/>
      <c r="BB100" s="2008"/>
      <c r="BC100" s="224"/>
      <c r="BD100" s="224"/>
      <c r="BE100" s="224"/>
      <c r="BF100" s="224"/>
      <c r="BG100" s="224"/>
      <c r="BH100" s="224"/>
    </row>
    <row r="101" ht="12.75" customHeight="1">
      <c r="AN101" s="1957"/>
      <c r="AO101" s="2042"/>
      <c r="AP101" s="2048"/>
      <c r="AQ101" s="2049"/>
      <c r="AR101" s="2046"/>
      <c r="AS101" s="1858"/>
      <c r="AT101" s="2049"/>
      <c r="AU101" s="2044"/>
      <c r="AV101" s="2049"/>
      <c r="AW101" s="2044"/>
      <c r="AX101" s="2008"/>
      <c r="AY101" s="2008"/>
      <c r="AZ101" s="2008"/>
      <c r="BA101" s="2008"/>
      <c r="BB101" s="2008"/>
      <c r="BC101" s="224"/>
      <c r="BD101" s="224"/>
      <c r="BE101" s="224"/>
      <c r="BF101" s="224"/>
      <c r="BG101" s="224"/>
      <c r="BH101" s="224"/>
    </row>
    <row r="102" hidden="1">
      <c r="A102" s="2047"/>
      <c r="B102" s="2047"/>
      <c r="C102" s="2047"/>
      <c r="D102" s="2047"/>
      <c r="E102" s="2047"/>
      <c r="F102" s="2047"/>
      <c r="G102" s="2047"/>
      <c r="H102" s="2047"/>
      <c r="I102" s="2047"/>
      <c r="J102" s="2047"/>
      <c r="K102" s="2047"/>
      <c r="L102" s="2047"/>
      <c r="M102" s="2047"/>
      <c r="N102" s="2047"/>
      <c r="O102" s="2047"/>
      <c r="P102" s="2047"/>
      <c r="Q102" s="2047"/>
      <c r="R102" s="2047"/>
      <c r="S102" s="2047"/>
      <c r="T102" s="2047"/>
      <c r="U102" s="2047"/>
      <c r="V102" s="2047"/>
      <c r="X102" s="2050"/>
      <c r="Y102" s="2050"/>
      <c r="Z102" s="2050"/>
      <c r="AA102" s="2050"/>
      <c r="AB102" s="2050"/>
      <c r="AC102" s="2050"/>
      <c r="AD102" s="2050"/>
      <c r="AE102" s="2050"/>
      <c r="AF102" s="2050"/>
      <c r="AG102" s="2050"/>
      <c r="AH102" s="2050"/>
      <c r="AI102" s="2050"/>
      <c r="AJ102" s="2050"/>
      <c r="AK102" s="2050"/>
      <c r="AL102" s="2050"/>
      <c r="AM102" s="2050"/>
      <c r="AN102" s="1471"/>
      <c r="AO102" s="2042"/>
      <c r="AP102" s="2051"/>
      <c r="AQ102" s="2052"/>
      <c r="AR102" s="2053"/>
      <c r="AS102" s="1860"/>
      <c r="AT102" s="2052"/>
      <c r="AU102" s="2054"/>
      <c r="AV102" s="2052"/>
      <c r="AW102" s="2054"/>
      <c r="AX102" s="2008"/>
      <c r="AY102" s="2008"/>
      <c r="AZ102" s="2008"/>
      <c r="BA102" s="2008"/>
      <c r="BB102" s="2008"/>
      <c r="BC102" s="224"/>
      <c r="BD102" s="224"/>
      <c r="BE102" s="224"/>
      <c r="BF102" s="224"/>
      <c r="BG102" s="224"/>
      <c r="BH102" s="224"/>
      <c r="BI102" s="34"/>
      <c r="BJ102" s="34"/>
      <c r="BK102" s="34"/>
      <c r="BL102" s="34"/>
      <c r="BM102" s="34"/>
      <c r="BN102" s="34"/>
      <c r="BO102" s="34"/>
      <c r="BP102" s="34"/>
      <c r="BQ102" s="34"/>
      <c r="BR102" s="34"/>
    </row>
    <row r="103" ht="13.5" customHeight="1">
      <c r="A103" s="2047"/>
      <c r="B103" s="2047"/>
      <c r="C103" s="2047"/>
      <c r="D103" s="2047"/>
      <c r="E103" s="2047"/>
      <c r="F103" s="2047"/>
      <c r="G103" s="2047"/>
      <c r="H103" s="2047"/>
      <c r="I103" s="2047"/>
      <c r="J103" s="2047"/>
      <c r="K103" s="2047"/>
      <c r="L103" s="2047"/>
      <c r="M103" s="2047"/>
      <c r="N103" s="2047"/>
      <c r="O103" s="2047"/>
      <c r="P103" s="2047"/>
      <c r="Q103" s="2047"/>
      <c r="R103" s="2047"/>
      <c r="S103" s="2047"/>
      <c r="T103" s="2047"/>
      <c r="U103" s="2047"/>
      <c r="V103" s="2047"/>
      <c r="W103" s="2047"/>
      <c r="X103" s="2047"/>
      <c r="Y103" s="2047"/>
      <c r="Z103" s="2047"/>
      <c r="AA103" s="2047"/>
      <c r="AB103" s="2047"/>
      <c r="AC103" s="2047"/>
      <c r="AD103" s="2047"/>
      <c r="AE103" s="2047"/>
      <c r="AF103" s="2047"/>
      <c r="AG103" s="2047"/>
      <c r="AH103" s="2047"/>
      <c r="AI103" s="2047"/>
      <c r="AJ103" s="2047"/>
      <c r="AK103" s="2047"/>
      <c r="AL103" s="2047"/>
      <c r="AM103" s="2047"/>
      <c r="AN103" s="1957"/>
      <c r="AO103" s="2042"/>
      <c r="AP103" s="2048"/>
      <c r="AQ103" s="2042"/>
      <c r="AR103" s="2046"/>
      <c r="AS103" s="1858"/>
      <c r="AT103" s="2042"/>
      <c r="AU103" s="2044"/>
      <c r="AV103" s="2042"/>
      <c r="AW103" s="2044"/>
      <c r="AX103" s="1957"/>
      <c r="AY103" s="1957"/>
      <c r="AZ103" s="1957"/>
      <c r="BA103" s="1957"/>
      <c r="BB103" s="1957"/>
    </row>
    <row r="104">
      <c r="A104" s="126" t="s">
        <v>731</v>
      </c>
      <c r="AN104" s="1957"/>
      <c r="AO104" s="2042"/>
      <c r="AP104" s="2048"/>
      <c r="AQ104" s="2042"/>
      <c r="AR104" s="2046"/>
      <c r="AS104" s="1858"/>
      <c r="AT104" s="2042"/>
      <c r="AU104" s="2044"/>
      <c r="AV104" s="2042"/>
      <c r="AW104" s="2044"/>
      <c r="AX104" s="2055"/>
      <c r="AY104" s="2055"/>
      <c r="AZ104" s="2055"/>
      <c r="BA104" s="1957"/>
      <c r="BB104" s="1957"/>
    </row>
    <row r="105" ht="10.5" customHeight="1">
      <c r="A105" s="241"/>
      <c r="B105" s="242"/>
      <c r="C105" s="243" t="s">
        <v>152</v>
      </c>
      <c r="D105" s="243"/>
      <c r="E105" s="244"/>
      <c r="F105" s="245"/>
      <c r="G105" s="245"/>
      <c r="H105" s="245"/>
      <c r="I105" s="245"/>
      <c r="J105" s="245"/>
      <c r="K105" s="245"/>
      <c r="L105" s="245"/>
      <c r="M105" s="245"/>
      <c r="N105" s="244"/>
      <c r="O105" s="244"/>
      <c r="P105" s="246" t="s">
        <v>153</v>
      </c>
      <c r="Q105" s="245" t="s">
        <v>154</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7"/>
      <c r="AO105" s="2042"/>
      <c r="AP105" s="2048"/>
      <c r="AQ105" s="2042"/>
      <c r="AR105" s="2046"/>
      <c r="AS105" s="1858"/>
      <c r="AT105" s="2042"/>
      <c r="AU105" s="2044"/>
      <c r="AV105" s="2042"/>
      <c r="AW105" s="2044"/>
      <c r="AX105" s="2055"/>
      <c r="AY105" s="2055"/>
      <c r="AZ105" s="2055"/>
      <c r="BA105" s="1957"/>
      <c r="BB105" s="1957"/>
    </row>
    <row r="106">
      <c r="A106" s="1488" t="s">
        <v>155</v>
      </c>
      <c r="B106" s="253"/>
      <c r="C106" s="1488" t="s">
        <v>156</v>
      </c>
      <c r="D106" s="255"/>
      <c r="E106" s="255"/>
      <c r="F106" s="253"/>
      <c r="G106" s="2056" t="s">
        <v>157</v>
      </c>
      <c r="H106" s="255"/>
      <c r="I106" s="255"/>
      <c r="J106" s="253"/>
      <c r="K106" s="1492" t="s">
        <v>158</v>
      </c>
      <c r="L106" s="85"/>
      <c r="M106" s="85"/>
      <c r="N106" s="85"/>
      <c r="O106" s="85"/>
      <c r="P106" s="85"/>
      <c r="Q106" s="85"/>
      <c r="R106" s="85"/>
      <c r="S106" s="85"/>
      <c r="T106" s="85"/>
      <c r="U106" s="85"/>
      <c r="V106" s="85"/>
      <c r="W106" s="85"/>
      <c r="X106" s="85"/>
      <c r="Y106" s="85"/>
      <c r="Z106" s="85"/>
      <c r="AA106" s="85"/>
      <c r="AB106" s="86"/>
      <c r="AC106" s="1494" t="s">
        <v>159</v>
      </c>
      <c r="AD106" s="255"/>
      <c r="AE106" s="255"/>
      <c r="AF106" s="253"/>
      <c r="AG106" s="1494" t="s">
        <v>160</v>
      </c>
      <c r="AH106" s="255"/>
      <c r="AI106" s="253"/>
      <c r="AJ106" s="1494" t="s">
        <v>161</v>
      </c>
      <c r="AK106" s="255"/>
      <c r="AL106" s="255"/>
      <c r="AM106" s="253"/>
      <c r="AN106" s="1957"/>
      <c r="AO106" s="2042"/>
      <c r="AP106" s="2048"/>
      <c r="AQ106" s="2042"/>
      <c r="AR106" s="2046"/>
      <c r="AS106" s="1858"/>
      <c r="AT106" s="2042"/>
      <c r="AU106" s="2044"/>
      <c r="AV106" s="2042"/>
      <c r="AW106" s="2044"/>
      <c r="AX106" s="1957"/>
      <c r="AY106" s="1957"/>
      <c r="AZ106" s="1957"/>
      <c r="BA106" s="1957"/>
      <c r="BB106" s="1957"/>
    </row>
    <row r="107">
      <c r="A107" s="260"/>
      <c r="B107" s="261"/>
      <c r="C107" s="260"/>
      <c r="D107" s="251"/>
      <c r="E107" s="251"/>
      <c r="F107" s="261"/>
      <c r="G107" s="260"/>
      <c r="H107" s="251"/>
      <c r="I107" s="251"/>
      <c r="J107" s="261"/>
      <c r="K107" s="1492" t="s">
        <v>162</v>
      </c>
      <c r="L107" s="86"/>
      <c r="M107" s="1492" t="s">
        <v>163</v>
      </c>
      <c r="N107" s="85"/>
      <c r="O107" s="86"/>
      <c r="P107" s="1497" t="s">
        <v>164</v>
      </c>
      <c r="Q107" s="263"/>
      <c r="R107" s="1498" t="s">
        <v>165</v>
      </c>
      <c r="S107" s="263"/>
      <c r="T107" s="1497" t="s">
        <v>166</v>
      </c>
      <c r="W107" s="263"/>
      <c r="X107" s="1498" t="s">
        <v>167</v>
      </c>
      <c r="Y107" s="263"/>
      <c r="Z107" s="1492" t="s">
        <v>168</v>
      </c>
      <c r="AA107" s="85"/>
      <c r="AB107" s="86"/>
      <c r="AC107" s="1499" t="s">
        <v>169</v>
      </c>
      <c r="AD107" s="251"/>
      <c r="AE107" s="251"/>
      <c r="AF107" s="261"/>
      <c r="AG107" s="1499"/>
      <c r="AH107" s="251"/>
      <c r="AI107" s="261"/>
      <c r="AJ107" s="1499" t="s">
        <v>169</v>
      </c>
      <c r="AK107" s="251"/>
      <c r="AL107" s="251"/>
      <c r="AM107" s="261"/>
      <c r="AN107" s="1957"/>
      <c r="AO107" s="2042"/>
      <c r="AP107" s="2048"/>
      <c r="AQ107" s="2042"/>
      <c r="AR107" s="2046"/>
      <c r="AS107" s="1858"/>
      <c r="AT107" s="2042"/>
      <c r="AU107" s="2044"/>
      <c r="AV107" s="2042"/>
      <c r="AW107" s="2044"/>
      <c r="AX107" s="1957"/>
      <c r="AY107" s="1957"/>
      <c r="AZ107" s="1957"/>
      <c r="BA107" s="1957"/>
      <c r="BB107" s="1957"/>
    </row>
    <row r="108" ht="13.5" customHeight="1">
      <c r="A108" s="1500">
        <v>1.0</v>
      </c>
      <c r="B108" s="253"/>
      <c r="C108" s="2057"/>
      <c r="D108" s="255"/>
      <c r="E108" s="255"/>
      <c r="F108" s="253"/>
      <c r="G108" s="2058"/>
      <c r="H108" s="255"/>
      <c r="I108" s="255"/>
      <c r="J108" s="253"/>
      <c r="K108" s="1504">
        <v>1.0</v>
      </c>
      <c r="L108" s="253"/>
      <c r="M108" s="1504">
        <v>1.0</v>
      </c>
      <c r="N108" s="255"/>
      <c r="O108" s="253"/>
      <c r="P108" s="1504">
        <v>1.0</v>
      </c>
      <c r="Q108" s="255"/>
      <c r="R108" s="1505">
        <v>1.0</v>
      </c>
      <c r="S108" s="253"/>
      <c r="T108" s="1504">
        <v>1.0</v>
      </c>
      <c r="U108" s="255"/>
      <c r="V108" s="255"/>
      <c r="W108" s="253"/>
      <c r="X108" s="1506">
        <v>1.0</v>
      </c>
      <c r="Y108" s="255"/>
      <c r="Z108" s="1507">
        <f>ROUND(K108*M108*P108*R108*T108*X108,2)</f>
        <v>1</v>
      </c>
      <c r="AB108" s="263"/>
      <c r="AC108" s="2059">
        <f t="shared" ref="AC108:AC110" si="5">+Z108*G108</f>
        <v>0</v>
      </c>
      <c r="AF108" s="263"/>
      <c r="AG108" s="2060">
        <v>1.0</v>
      </c>
      <c r="AH108" s="251"/>
      <c r="AI108" s="261"/>
      <c r="AJ108" s="1510">
        <f>C108*AC108*AG108</f>
        <v>0</v>
      </c>
      <c r="AM108" s="263"/>
      <c r="AN108" s="1957"/>
      <c r="AO108" s="2042"/>
      <c r="AP108" s="2051"/>
      <c r="AQ108" s="2042"/>
      <c r="AR108" s="2053"/>
      <c r="AS108" s="1860"/>
      <c r="AT108" s="2042"/>
      <c r="AU108" s="2054"/>
      <c r="AV108" s="2042"/>
      <c r="AW108" s="2054"/>
      <c r="AX108" s="1957"/>
      <c r="AY108" s="1957"/>
      <c r="AZ108" s="1957"/>
      <c r="BA108" s="1957"/>
      <c r="BB108" s="1957"/>
    </row>
    <row r="109" hidden="1">
      <c r="A109" s="1511">
        <v>2.0</v>
      </c>
      <c r="B109" s="263"/>
      <c r="C109" s="1512"/>
      <c r="F109" s="263"/>
      <c r="G109" s="2061">
        <v>0.0</v>
      </c>
      <c r="J109" s="263"/>
      <c r="K109" s="1516"/>
      <c r="L109" s="263"/>
      <c r="M109" s="1515"/>
      <c r="O109" s="263"/>
      <c r="P109" s="1515"/>
      <c r="R109" s="1516"/>
      <c r="S109" s="263"/>
      <c r="T109" s="1515"/>
      <c r="W109" s="263"/>
      <c r="X109" s="2062"/>
      <c r="Z109" s="1507"/>
      <c r="AB109" s="263"/>
      <c r="AC109" s="1510">
        <f t="shared" si="5"/>
        <v>0</v>
      </c>
      <c r="AF109" s="263"/>
      <c r="AG109" s="1518">
        <v>1.0</v>
      </c>
      <c r="AI109" s="263"/>
      <c r="AJ109" s="1510">
        <f t="shared" ref="AJ109:AJ110" si="6">+AC109*C109*AG109</f>
        <v>0</v>
      </c>
      <c r="AM109" s="263"/>
      <c r="AN109" s="1471"/>
      <c r="AO109" s="1957"/>
      <c r="AP109" s="1957"/>
      <c r="AQ109" s="1957"/>
      <c r="AR109" s="1957"/>
      <c r="AS109" s="1957"/>
      <c r="AT109" s="1957"/>
      <c r="AU109" s="1957"/>
      <c r="AV109" s="1957"/>
      <c r="AW109" s="1957"/>
      <c r="AX109" s="1957"/>
      <c r="AY109" s="1957"/>
      <c r="AZ109" s="1957"/>
      <c r="BA109" s="1957"/>
      <c r="BB109" s="1957"/>
    </row>
    <row r="110" hidden="1">
      <c r="A110" s="1519">
        <v>3.0</v>
      </c>
      <c r="B110" s="261"/>
      <c r="C110" s="1520"/>
      <c r="D110" s="251"/>
      <c r="E110" s="251"/>
      <c r="F110" s="261"/>
      <c r="G110" s="2063">
        <v>0.0</v>
      </c>
      <c r="H110" s="251"/>
      <c r="I110" s="251"/>
      <c r="J110" s="261"/>
      <c r="K110" s="1524"/>
      <c r="L110" s="261"/>
      <c r="M110" s="1523"/>
      <c r="N110" s="251"/>
      <c r="O110" s="261"/>
      <c r="P110" s="1523"/>
      <c r="Q110" s="251"/>
      <c r="R110" s="1524"/>
      <c r="S110" s="261"/>
      <c r="T110" s="1523"/>
      <c r="U110" s="251"/>
      <c r="V110" s="251"/>
      <c r="W110" s="261"/>
      <c r="X110" s="2064"/>
      <c r="Y110" s="251"/>
      <c r="Z110" s="2065"/>
      <c r="AA110" s="251"/>
      <c r="AB110" s="261"/>
      <c r="AC110" s="2066">
        <f t="shared" si="5"/>
        <v>0</v>
      </c>
      <c r="AD110" s="251"/>
      <c r="AE110" s="251"/>
      <c r="AF110" s="261"/>
      <c r="AG110" s="1527">
        <v>1.0</v>
      </c>
      <c r="AH110" s="251"/>
      <c r="AI110" s="261"/>
      <c r="AJ110" s="1510">
        <f t="shared" si="6"/>
        <v>0</v>
      </c>
      <c r="AM110" s="263"/>
      <c r="AN110" s="1471"/>
      <c r="AO110" s="1957"/>
      <c r="AP110" s="1957"/>
      <c r="AQ110" s="1957"/>
      <c r="AR110" s="1957"/>
      <c r="AS110" s="1957"/>
      <c r="AT110" s="1957"/>
      <c r="AU110" s="1957"/>
      <c r="AV110" s="1957"/>
      <c r="AW110" s="1957"/>
      <c r="AX110" s="1957"/>
      <c r="AY110" s="1957"/>
      <c r="AZ110" s="1957"/>
      <c r="BA110" s="1957"/>
      <c r="BB110" s="1957"/>
    </row>
    <row r="111" ht="20.25" customHeight="1">
      <c r="A111" s="1519" t="s">
        <v>170</v>
      </c>
      <c r="B111" s="261"/>
      <c r="C111" s="1528">
        <f>SUM(C108:F110)</f>
        <v>0</v>
      </c>
      <c r="D111" s="85"/>
      <c r="E111" s="85"/>
      <c r="F111" s="86"/>
      <c r="G111" s="1500"/>
      <c r="H111" s="255"/>
      <c r="I111" s="255"/>
      <c r="J111" s="255"/>
      <c r="K111" s="2067" t="s">
        <v>171</v>
      </c>
      <c r="L111" s="294"/>
      <c r="M111" s="294"/>
      <c r="N111" s="294"/>
      <c r="O111" s="294"/>
      <c r="P111" s="294"/>
      <c r="Q111" s="294"/>
      <c r="R111" s="294"/>
      <c r="S111" s="294"/>
      <c r="T111" s="294"/>
      <c r="U111" s="294"/>
      <c r="V111" s="294"/>
      <c r="W111" s="294"/>
      <c r="X111" s="294"/>
      <c r="Y111" s="294"/>
      <c r="Z111" s="294"/>
      <c r="AA111" s="294"/>
      <c r="AB111" s="295"/>
      <c r="AC111" s="2068">
        <f>SUM(AC108:AF110)</f>
        <v>0</v>
      </c>
      <c r="AD111" s="255"/>
      <c r="AE111" s="255"/>
      <c r="AF111" s="255"/>
      <c r="AG111" s="2069" t="s">
        <v>732</v>
      </c>
      <c r="AJ111" s="1193">
        <f>SUM(AJ108:AM110)</f>
        <v>0</v>
      </c>
      <c r="AK111" s="85"/>
      <c r="AL111" s="85"/>
      <c r="AM111" s="86"/>
      <c r="AN111" s="2070" t="str">
        <f>AJ111/$AJ$159</f>
        <v>#DIV/0!</v>
      </c>
      <c r="AO111" s="1957"/>
      <c r="AP111" s="1532" t="s">
        <v>173</v>
      </c>
      <c r="AQ111" s="1856"/>
      <c r="AR111" s="1856"/>
      <c r="AS111" s="1857"/>
      <c r="AT111" s="1957"/>
      <c r="AU111" s="1957"/>
      <c r="AV111" s="1957"/>
      <c r="AW111" s="1957"/>
      <c r="AX111" s="1957"/>
      <c r="AY111" s="1957"/>
      <c r="AZ111" s="1957"/>
      <c r="BA111" s="1957"/>
      <c r="BB111" s="1957"/>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1"/>
      <c r="AO112" s="1957"/>
      <c r="AP112" s="1583"/>
      <c r="AS112" s="1858"/>
      <c r="AT112" s="1957"/>
      <c r="AU112" s="1957"/>
      <c r="AV112" s="1957"/>
      <c r="AW112" s="1957"/>
      <c r="AX112" s="1957"/>
      <c r="AY112" s="1957"/>
      <c r="AZ112" s="1957"/>
      <c r="BA112" s="1957"/>
      <c r="BB112" s="1957"/>
      <c r="BC112" s="34"/>
      <c r="BD112" s="34"/>
      <c r="BE112" s="34"/>
      <c r="BF112" s="34"/>
      <c r="BG112" s="34"/>
    </row>
    <row r="113" ht="11.25" customHeight="1">
      <c r="A113" s="307"/>
      <c r="B113" s="92"/>
      <c r="C113" s="308" t="s">
        <v>174</v>
      </c>
      <c r="D113" s="308"/>
      <c r="E113" s="309"/>
      <c r="F113" s="309"/>
      <c r="G113" s="309"/>
      <c r="H113" s="309"/>
      <c r="I113" s="310"/>
      <c r="J113" s="310"/>
      <c r="K113" s="309"/>
      <c r="L113" s="309"/>
      <c r="M113" s="309"/>
      <c r="N113" s="311" t="s">
        <v>175</v>
      </c>
      <c r="O113" s="255"/>
      <c r="P113" s="253"/>
      <c r="Q113" s="312" t="s">
        <v>176</v>
      </c>
      <c r="R113" s="85"/>
      <c r="S113" s="85"/>
      <c r="T113" s="85"/>
      <c r="U113" s="85"/>
      <c r="V113" s="85"/>
      <c r="W113" s="85"/>
      <c r="X113" s="85"/>
      <c r="Y113" s="85"/>
      <c r="Z113" s="85"/>
      <c r="AA113" s="85"/>
      <c r="AB113" s="86"/>
      <c r="AC113" s="254" t="s">
        <v>177</v>
      </c>
      <c r="AD113" s="255"/>
      <c r="AE113" s="255"/>
      <c r="AF113" s="253"/>
      <c r="AG113" s="254" t="s">
        <v>160</v>
      </c>
      <c r="AH113" s="255"/>
      <c r="AI113" s="253"/>
      <c r="AJ113" s="254" t="s">
        <v>161</v>
      </c>
      <c r="AK113" s="255"/>
      <c r="AL113" s="255"/>
      <c r="AM113" s="253"/>
      <c r="AN113" s="2072"/>
      <c r="AO113" s="2073"/>
      <c r="AP113" s="1586"/>
      <c r="AQ113" s="1859"/>
      <c r="AR113" s="1859"/>
      <c r="AS113" s="1860"/>
      <c r="AT113" s="2073"/>
      <c r="AU113" s="2073"/>
      <c r="AV113" s="2073"/>
      <c r="AW113" s="2073"/>
      <c r="AX113" s="2074"/>
      <c r="AY113" s="1471"/>
      <c r="AZ113" s="2028"/>
      <c r="BA113" s="1471"/>
      <c r="BB113" s="1471"/>
      <c r="BC113" s="2075"/>
      <c r="BD113" s="2075"/>
      <c r="BE113" s="2075"/>
      <c r="BF113" s="2075"/>
      <c r="BG113" s="92"/>
      <c r="BH113" s="92"/>
      <c r="BI113" s="92"/>
      <c r="BJ113" s="92"/>
      <c r="BK113" s="92"/>
      <c r="BL113" s="92"/>
      <c r="BM113" s="92"/>
      <c r="BN113" s="92"/>
      <c r="BO113" s="92"/>
      <c r="BP113" s="92"/>
      <c r="BQ113" s="92"/>
      <c r="BR113" s="92"/>
    </row>
    <row r="114" ht="12.0" customHeight="1">
      <c r="A114" s="1500" t="s">
        <v>178</v>
      </c>
      <c r="B114" s="253"/>
      <c r="C114" s="1542" t="s">
        <v>179</v>
      </c>
      <c r="D114" s="85"/>
      <c r="E114" s="85"/>
      <c r="F114" s="85"/>
      <c r="G114" s="85"/>
      <c r="H114" s="85"/>
      <c r="I114" s="85"/>
      <c r="J114" s="86"/>
      <c r="K114" s="320" t="s">
        <v>156</v>
      </c>
      <c r="L114" s="255"/>
      <c r="M114" s="253"/>
      <c r="N114" s="260"/>
      <c r="O114" s="251"/>
      <c r="P114" s="261"/>
      <c r="Q114" s="199" t="s">
        <v>180</v>
      </c>
      <c r="S114" s="263"/>
      <c r="T114" s="321" t="s">
        <v>181</v>
      </c>
      <c r="U114" s="251"/>
      <c r="V114" s="251"/>
      <c r="W114" s="261"/>
      <c r="X114" s="322" t="s">
        <v>182</v>
      </c>
      <c r="Y114" s="263"/>
      <c r="Z114" s="323" t="s">
        <v>129</v>
      </c>
      <c r="AA114" s="251"/>
      <c r="AB114" s="261"/>
      <c r="AC114" s="1497" t="s">
        <v>183</v>
      </c>
      <c r="AF114" s="263"/>
      <c r="AG114" s="1499"/>
      <c r="AH114" s="251"/>
      <c r="AI114" s="261"/>
      <c r="AJ114" s="1497" t="s">
        <v>169</v>
      </c>
      <c r="AM114" s="263"/>
      <c r="AN114" s="2076"/>
      <c r="AO114" s="1957"/>
      <c r="AP114" s="2077" t="s">
        <v>200</v>
      </c>
      <c r="AQ114" s="2078" t="s">
        <v>129</v>
      </c>
      <c r="AR114" s="2078" t="s">
        <v>184</v>
      </c>
      <c r="AS114" s="2079"/>
      <c r="AT114" s="1957"/>
      <c r="AU114" s="1957"/>
      <c r="AV114" s="1957"/>
      <c r="AW114" s="1957"/>
      <c r="AX114" s="2080"/>
      <c r="AY114" s="2073"/>
      <c r="AZ114" s="2081"/>
      <c r="BA114" s="2073"/>
      <c r="BB114" s="2081"/>
      <c r="BC114" s="2082"/>
      <c r="BD114" s="2082"/>
      <c r="BE114" s="2082"/>
      <c r="BF114" s="2082"/>
      <c r="BG114" s="34"/>
    </row>
    <row r="115" ht="11.25" customHeight="1">
      <c r="A115" s="1511" t="s">
        <v>185</v>
      </c>
      <c r="B115" s="263"/>
      <c r="C115" s="1546"/>
      <c r="D115" s="255"/>
      <c r="E115" s="255"/>
      <c r="F115" s="255"/>
      <c r="G115" s="255"/>
      <c r="H115" s="255"/>
      <c r="I115" s="255"/>
      <c r="J115" s="253"/>
      <c r="K115" s="2083"/>
      <c r="L115" s="255"/>
      <c r="M115" s="253"/>
      <c r="N115" s="331"/>
      <c r="O115" s="255"/>
      <c r="P115" s="253"/>
      <c r="Q115" s="332">
        <v>1.0</v>
      </c>
      <c r="R115" s="255"/>
      <c r="S115" s="253"/>
      <c r="T115" s="333">
        <v>0.85</v>
      </c>
      <c r="U115" s="255"/>
      <c r="V115" s="255"/>
      <c r="W115" s="253"/>
      <c r="X115" s="334">
        <v>1.0</v>
      </c>
      <c r="Y115" s="253"/>
      <c r="Z115" s="334">
        <f t="shared" ref="Z115:Z117" si="7">IF(AS115&lt;0.2,"0.20",AS115)</f>
        <v>0.9</v>
      </c>
      <c r="AA115" s="255"/>
      <c r="AB115" s="253"/>
      <c r="AC115" s="2084">
        <f t="shared" ref="AC115:AC117" si="8">Z115*Q115*X115*T115*N115</f>
        <v>0</v>
      </c>
      <c r="AD115" s="255"/>
      <c r="AE115" s="255"/>
      <c r="AF115" s="253"/>
      <c r="AG115" s="1548">
        <v>1.0</v>
      </c>
      <c r="AH115" s="255"/>
      <c r="AI115" s="253"/>
      <c r="AJ115" s="1549">
        <f t="shared" ref="AJ115:AJ122" si="9">K115*AC115*AG115</f>
        <v>0</v>
      </c>
      <c r="AK115" s="255"/>
      <c r="AL115" s="255"/>
      <c r="AM115" s="253"/>
      <c r="AN115" s="2076"/>
      <c r="AO115" s="1957"/>
      <c r="AP115" s="2085">
        <f>+F86</f>
        <v>60</v>
      </c>
      <c r="AQ115" s="2086">
        <f>+A86</f>
        <v>7</v>
      </c>
      <c r="AR115" s="2087">
        <f t="shared" ref="AR115:AR122" si="11">AP115-AQ115</f>
        <v>53</v>
      </c>
      <c r="AS115" s="2088">
        <f t="shared" ref="AS115:AS122" si="12">ROUND(((0.1*AP115)+(0.9*AR115))/AP115,2)</f>
        <v>0.9</v>
      </c>
      <c r="AT115" s="1957"/>
      <c r="AU115" s="1957"/>
      <c r="AV115" s="1957"/>
      <c r="AW115" s="1957"/>
      <c r="AX115" s="2074"/>
      <c r="AY115" s="1957"/>
      <c r="AZ115" s="2089"/>
      <c r="BA115" s="2089"/>
      <c r="BB115" s="2089"/>
      <c r="BC115" s="2082"/>
      <c r="BD115" s="2082"/>
      <c r="BE115" s="2082"/>
      <c r="BF115" s="2082"/>
      <c r="BG115" s="34"/>
    </row>
    <row r="116" ht="11.25" customHeight="1">
      <c r="A116" s="1511" t="s">
        <v>186</v>
      </c>
      <c r="B116" s="263"/>
      <c r="C116" s="2090"/>
      <c r="J116" s="263"/>
      <c r="K116" s="2091"/>
      <c r="M116" s="263"/>
      <c r="N116" s="2092"/>
      <c r="P116" s="263"/>
      <c r="Q116" s="344">
        <v>1.0</v>
      </c>
      <c r="S116" s="263"/>
      <c r="T116" s="345">
        <v>0.0</v>
      </c>
      <c r="W116" s="263"/>
      <c r="X116" s="346">
        <v>1.0</v>
      </c>
      <c r="Y116" s="263"/>
      <c r="Z116" s="346">
        <f t="shared" si="7"/>
        <v>0.9</v>
      </c>
      <c r="AB116" s="263"/>
      <c r="AC116" s="2093">
        <f t="shared" si="8"/>
        <v>0</v>
      </c>
      <c r="AF116" s="263"/>
      <c r="AG116" s="1555">
        <v>1.0</v>
      </c>
      <c r="AI116" s="263"/>
      <c r="AJ116" s="1556">
        <f t="shared" si="9"/>
        <v>0</v>
      </c>
      <c r="AM116" s="263"/>
      <c r="AN116" s="2076"/>
      <c r="AO116" s="1957"/>
      <c r="AP116" s="2094">
        <f t="shared" ref="AP116:AQ116" si="10">+AP115</f>
        <v>60</v>
      </c>
      <c r="AQ116" s="2095">
        <f t="shared" si="10"/>
        <v>7</v>
      </c>
      <c r="AR116" s="2096">
        <f t="shared" si="11"/>
        <v>53</v>
      </c>
      <c r="AS116" s="2097">
        <f t="shared" si="12"/>
        <v>0.9</v>
      </c>
      <c r="AT116" s="1957"/>
      <c r="AU116" s="1957"/>
      <c r="AV116" s="1957"/>
      <c r="AW116" s="1957"/>
      <c r="AX116" s="2098"/>
      <c r="AY116" s="1957"/>
      <c r="AZ116" s="2089"/>
      <c r="BA116" s="2089"/>
      <c r="BB116" s="2089"/>
      <c r="BC116" s="2082"/>
      <c r="BD116" s="2082"/>
      <c r="BE116" s="2082"/>
      <c r="BF116" s="2082"/>
      <c r="BG116" s="34"/>
    </row>
    <row r="117" ht="11.25" customHeight="1">
      <c r="A117" s="1511" t="s">
        <v>187</v>
      </c>
      <c r="B117" s="263"/>
      <c r="C117" s="1552"/>
      <c r="J117" s="263"/>
      <c r="K117" s="2091"/>
      <c r="M117" s="263"/>
      <c r="N117" s="2092"/>
      <c r="P117" s="263"/>
      <c r="Q117" s="344">
        <v>1.0</v>
      </c>
      <c r="S117" s="263"/>
      <c r="T117" s="345">
        <v>0.0</v>
      </c>
      <c r="W117" s="263"/>
      <c r="X117" s="346">
        <v>1.0</v>
      </c>
      <c r="Y117" s="263"/>
      <c r="Z117" s="346">
        <f t="shared" si="7"/>
        <v>0.9</v>
      </c>
      <c r="AB117" s="263"/>
      <c r="AC117" s="2093">
        <f t="shared" si="8"/>
        <v>0</v>
      </c>
      <c r="AF117" s="263"/>
      <c r="AG117" s="1555">
        <v>1.0</v>
      </c>
      <c r="AI117" s="263"/>
      <c r="AJ117" s="1556">
        <f t="shared" si="9"/>
        <v>0</v>
      </c>
      <c r="AM117" s="263"/>
      <c r="AN117" s="2076"/>
      <c r="AO117" s="1957"/>
      <c r="AP117" s="2094">
        <f t="shared" ref="AP117:AQ117" si="13">+AP116</f>
        <v>60</v>
      </c>
      <c r="AQ117" s="2095">
        <f t="shared" si="13"/>
        <v>7</v>
      </c>
      <c r="AR117" s="2096">
        <f t="shared" si="11"/>
        <v>53</v>
      </c>
      <c r="AS117" s="2097">
        <f t="shared" si="12"/>
        <v>0.9</v>
      </c>
      <c r="AT117" s="1957"/>
      <c r="AU117" s="1957"/>
      <c r="AV117" s="1957"/>
      <c r="AW117" s="1957"/>
      <c r="AX117" s="2098"/>
      <c r="AY117" s="1957"/>
      <c r="AZ117" s="2089"/>
      <c r="BA117" s="2089"/>
      <c r="BB117" s="2089"/>
      <c r="BC117" s="2082"/>
      <c r="BD117" s="2082"/>
      <c r="BE117" s="2082"/>
      <c r="BF117" s="2082"/>
      <c r="BG117" s="34"/>
    </row>
    <row r="118" ht="11.25" hidden="1" customHeight="1">
      <c r="A118" s="1511" t="s">
        <v>188</v>
      </c>
      <c r="B118" s="263"/>
      <c r="C118" s="1511"/>
      <c r="J118" s="263"/>
      <c r="K118" s="343"/>
      <c r="M118" s="263"/>
      <c r="N118" s="343"/>
      <c r="P118" s="263"/>
      <c r="Q118" s="344">
        <v>1.0</v>
      </c>
      <c r="S118" s="263"/>
      <c r="T118" s="346">
        <v>0.0</v>
      </c>
      <c r="W118" s="263"/>
      <c r="X118" s="346">
        <v>1.0</v>
      </c>
      <c r="Y118" s="263"/>
      <c r="Z118" s="346">
        <f t="shared" ref="Z118:Z122" si="15">IF(AS118&lt;0.6,"0.60",AS118)</f>
        <v>0.9</v>
      </c>
      <c r="AB118" s="263"/>
      <c r="AC118" s="2093">
        <f t="shared" ref="AC118:AC122" si="16">Z118*X118*T118*P118</f>
        <v>0</v>
      </c>
      <c r="AF118" s="263"/>
      <c r="AG118" s="1555">
        <v>1.0</v>
      </c>
      <c r="AI118" s="263"/>
      <c r="AJ118" s="1556">
        <f t="shared" si="9"/>
        <v>0</v>
      </c>
      <c r="AM118" s="263"/>
      <c r="AN118" s="2076"/>
      <c r="AO118" s="1957"/>
      <c r="AP118" s="2099">
        <f t="shared" ref="AP118:AQ118" si="14">+AP117</f>
        <v>60</v>
      </c>
      <c r="AQ118" s="2100">
        <f t="shared" si="14"/>
        <v>7</v>
      </c>
      <c r="AR118" s="2101">
        <f t="shared" si="11"/>
        <v>53</v>
      </c>
      <c r="AS118" s="2102">
        <f t="shared" si="12"/>
        <v>0.9</v>
      </c>
      <c r="AT118" s="1957"/>
      <c r="AU118" s="1957"/>
      <c r="AV118" s="1957"/>
      <c r="AW118" s="1957"/>
      <c r="AX118" s="2103"/>
      <c r="AY118" s="1957"/>
      <c r="AZ118" s="2089"/>
      <c r="BA118" s="2089"/>
      <c r="BB118" s="2089"/>
      <c r="BC118" s="2082"/>
      <c r="BD118" s="2082"/>
      <c r="BE118" s="2082"/>
      <c r="BF118" s="2082"/>
      <c r="BG118" s="34"/>
    </row>
    <row r="119" ht="11.25" hidden="1" customHeight="1">
      <c r="A119" s="1511" t="s">
        <v>189</v>
      </c>
      <c r="B119" s="365"/>
      <c r="C119" s="1567"/>
      <c r="J119" s="1568"/>
      <c r="K119" s="343"/>
      <c r="M119" s="263"/>
      <c r="N119" s="343"/>
      <c r="P119" s="263"/>
      <c r="Q119" s="344">
        <v>1.0</v>
      </c>
      <c r="S119" s="263"/>
      <c r="T119" s="346">
        <v>1.0</v>
      </c>
      <c r="W119" s="263"/>
      <c r="X119" s="346">
        <v>1.0</v>
      </c>
      <c r="Y119" s="263"/>
      <c r="Z119" s="346">
        <f t="shared" si="15"/>
        <v>0.88</v>
      </c>
      <c r="AB119" s="263"/>
      <c r="AC119" s="2093">
        <f t="shared" si="16"/>
        <v>0</v>
      </c>
      <c r="AF119" s="263"/>
      <c r="AG119" s="1569">
        <v>1.0</v>
      </c>
      <c r="AI119" s="263"/>
      <c r="AJ119" s="1556">
        <f t="shared" si="9"/>
        <v>0</v>
      </c>
      <c r="AM119" s="263"/>
      <c r="AN119" s="2076"/>
      <c r="AO119" s="1957"/>
      <c r="AP119" s="2104">
        <v>75.0</v>
      </c>
      <c r="AQ119" s="2105">
        <v>10.0</v>
      </c>
      <c r="AR119" s="2096">
        <f t="shared" si="11"/>
        <v>65</v>
      </c>
      <c r="AS119" s="2097">
        <f t="shared" si="12"/>
        <v>0.88</v>
      </c>
      <c r="AT119" s="1957"/>
      <c r="AU119" s="1957"/>
      <c r="AV119" s="1957"/>
      <c r="AW119" s="1957"/>
      <c r="AX119" s="2106"/>
      <c r="AY119" s="1957"/>
      <c r="AZ119" s="2089"/>
      <c r="BA119" s="2089"/>
      <c r="BB119" s="2089"/>
      <c r="BC119" s="2082"/>
      <c r="BD119" s="2082"/>
      <c r="BE119" s="2082"/>
      <c r="BF119" s="2082"/>
      <c r="BG119" s="34"/>
    </row>
    <row r="120" ht="11.25" hidden="1" customHeight="1">
      <c r="A120" s="1511" t="s">
        <v>190</v>
      </c>
      <c r="B120" s="365"/>
      <c r="C120" s="1567"/>
      <c r="J120" s="1568"/>
      <c r="K120" s="343"/>
      <c r="M120" s="263"/>
      <c r="N120" s="343"/>
      <c r="P120" s="263"/>
      <c r="Q120" s="344">
        <v>1.0</v>
      </c>
      <c r="S120" s="263"/>
      <c r="T120" s="346">
        <v>1.0</v>
      </c>
      <c r="W120" s="263"/>
      <c r="X120" s="346">
        <v>1.0</v>
      </c>
      <c r="Y120" s="263"/>
      <c r="Z120" s="346">
        <f t="shared" si="15"/>
        <v>0.88</v>
      </c>
      <c r="AB120" s="263"/>
      <c r="AC120" s="2093">
        <f t="shared" si="16"/>
        <v>0</v>
      </c>
      <c r="AF120" s="263"/>
      <c r="AG120" s="1569">
        <v>1.0</v>
      </c>
      <c r="AI120" s="263"/>
      <c r="AJ120" s="1556">
        <f t="shared" si="9"/>
        <v>0</v>
      </c>
      <c r="AM120" s="263"/>
      <c r="AN120" s="2076"/>
      <c r="AO120" s="1957"/>
      <c r="AP120" s="2104">
        <v>75.0</v>
      </c>
      <c r="AQ120" s="2105">
        <v>10.0</v>
      </c>
      <c r="AR120" s="2096">
        <f t="shared" si="11"/>
        <v>65</v>
      </c>
      <c r="AS120" s="2097">
        <f t="shared" si="12"/>
        <v>0.88</v>
      </c>
      <c r="AT120" s="1957"/>
      <c r="AU120" s="1957"/>
      <c r="AV120" s="1957"/>
      <c r="AW120" s="1957"/>
      <c r="AX120" s="2098"/>
      <c r="AY120" s="1957"/>
      <c r="AZ120" s="2089"/>
      <c r="BA120" s="2089"/>
      <c r="BB120" s="2089"/>
      <c r="BC120" s="2082"/>
      <c r="BD120" s="2082"/>
      <c r="BE120" s="2082"/>
      <c r="BF120" s="2082"/>
      <c r="BG120" s="34"/>
    </row>
    <row r="121" ht="11.25" hidden="1" customHeight="1">
      <c r="A121" s="1511" t="s">
        <v>191</v>
      </c>
      <c r="B121" s="263"/>
      <c r="C121" s="1567"/>
      <c r="J121" s="1568"/>
      <c r="K121" s="343"/>
      <c r="M121" s="263"/>
      <c r="N121" s="343"/>
      <c r="P121" s="263"/>
      <c r="Q121" s="344">
        <v>1.0</v>
      </c>
      <c r="S121" s="263"/>
      <c r="T121" s="346">
        <v>1.0</v>
      </c>
      <c r="W121" s="263"/>
      <c r="X121" s="346">
        <v>1.0</v>
      </c>
      <c r="Y121" s="263"/>
      <c r="Z121" s="346">
        <f t="shared" si="15"/>
        <v>0.88</v>
      </c>
      <c r="AB121" s="263"/>
      <c r="AC121" s="2093">
        <f t="shared" si="16"/>
        <v>0</v>
      </c>
      <c r="AF121" s="263"/>
      <c r="AG121" s="1569">
        <v>1.0</v>
      </c>
      <c r="AI121" s="263"/>
      <c r="AJ121" s="1556">
        <f t="shared" si="9"/>
        <v>0</v>
      </c>
      <c r="AM121" s="263"/>
      <c r="AN121" s="2076"/>
      <c r="AO121" s="1957"/>
      <c r="AP121" s="2104">
        <v>75.0</v>
      </c>
      <c r="AQ121" s="2105">
        <v>10.0</v>
      </c>
      <c r="AR121" s="2096">
        <f t="shared" si="11"/>
        <v>65</v>
      </c>
      <c r="AS121" s="2097">
        <f t="shared" si="12"/>
        <v>0.88</v>
      </c>
      <c r="AT121" s="1957"/>
      <c r="AU121" s="1957"/>
      <c r="AV121" s="1957"/>
      <c r="AW121" s="1957"/>
      <c r="AX121" s="2098"/>
      <c r="AY121" s="1957"/>
      <c r="AZ121" s="2089"/>
      <c r="BA121" s="2089"/>
      <c r="BB121" s="2089"/>
      <c r="BC121" s="2082"/>
      <c r="BD121" s="2082"/>
      <c r="BE121" s="2082"/>
      <c r="BF121" s="2082"/>
      <c r="BG121" s="34"/>
    </row>
    <row r="122" ht="11.25" hidden="1" customHeight="1">
      <c r="A122" s="1519" t="s">
        <v>192</v>
      </c>
      <c r="B122" s="371"/>
      <c r="C122" s="1570"/>
      <c r="D122" s="251"/>
      <c r="E122" s="251"/>
      <c r="F122" s="251"/>
      <c r="G122" s="251"/>
      <c r="H122" s="251"/>
      <c r="I122" s="251"/>
      <c r="J122" s="1571"/>
      <c r="K122" s="374"/>
      <c r="L122" s="251"/>
      <c r="M122" s="261"/>
      <c r="N122" s="374"/>
      <c r="O122" s="251"/>
      <c r="P122" s="261"/>
      <c r="Q122" s="344">
        <v>1.0</v>
      </c>
      <c r="S122" s="263"/>
      <c r="T122" s="1621">
        <v>1.0</v>
      </c>
      <c r="U122" s="251"/>
      <c r="V122" s="251"/>
      <c r="W122" s="261"/>
      <c r="X122" s="1621">
        <v>1.0</v>
      </c>
      <c r="Y122" s="261"/>
      <c r="Z122" s="1621">
        <f t="shared" si="15"/>
        <v>0.88</v>
      </c>
      <c r="AA122" s="251"/>
      <c r="AB122" s="261"/>
      <c r="AC122" s="2107">
        <f t="shared" si="16"/>
        <v>0</v>
      </c>
      <c r="AD122" s="251"/>
      <c r="AE122" s="251"/>
      <c r="AF122" s="261"/>
      <c r="AG122" s="1569">
        <v>1.0</v>
      </c>
      <c r="AI122" s="263"/>
      <c r="AJ122" s="1556">
        <f t="shared" si="9"/>
        <v>0</v>
      </c>
      <c r="AM122" s="263"/>
      <c r="AN122" s="2076"/>
      <c r="AO122" s="1957"/>
      <c r="AP122" s="2108">
        <v>75.0</v>
      </c>
      <c r="AQ122" s="2109">
        <v>10.0</v>
      </c>
      <c r="AR122" s="2101">
        <f t="shared" si="11"/>
        <v>65</v>
      </c>
      <c r="AS122" s="2102">
        <f t="shared" si="12"/>
        <v>0.88</v>
      </c>
      <c r="AT122" s="1957"/>
      <c r="AU122" s="1957"/>
      <c r="AV122" s="1957"/>
      <c r="AW122" s="1957"/>
      <c r="AX122" s="2098"/>
      <c r="AY122" s="1957"/>
      <c r="AZ122" s="2089"/>
      <c r="BA122" s="2089"/>
      <c r="BB122" s="2089"/>
      <c r="BC122" s="2082"/>
      <c r="BD122" s="2082"/>
      <c r="BE122" s="2082"/>
      <c r="BF122" s="2082"/>
      <c r="BG122" s="34"/>
    </row>
    <row r="123" ht="12.75" customHeight="1">
      <c r="A123" s="1572"/>
      <c r="B123" s="86"/>
      <c r="C123" s="1573" t="s">
        <v>193</v>
      </c>
      <c r="D123" s="85"/>
      <c r="E123" s="85"/>
      <c r="F123" s="85"/>
      <c r="G123" s="85"/>
      <c r="H123" s="85"/>
      <c r="I123" s="85"/>
      <c r="J123" s="1574"/>
      <c r="K123" s="2110">
        <f>SUM(K115:K122)</f>
        <v>0</v>
      </c>
      <c r="L123" s="85"/>
      <c r="M123" s="86"/>
      <c r="N123" s="2110"/>
      <c r="O123" s="85"/>
      <c r="P123" s="86"/>
      <c r="Q123" s="1577"/>
      <c r="R123" s="1577"/>
      <c r="S123" s="1577"/>
      <c r="T123" s="1577"/>
      <c r="U123" s="1577"/>
      <c r="V123" s="1577"/>
      <c r="W123" s="1577"/>
      <c r="X123" s="1577"/>
      <c r="Y123" s="1577"/>
      <c r="Z123" s="1574"/>
      <c r="AA123" s="1574"/>
      <c r="AB123" s="1574"/>
      <c r="AC123" s="1577"/>
      <c r="AD123" s="1577"/>
      <c r="AE123" s="1577"/>
      <c r="AF123" s="1496"/>
      <c r="AG123" s="1496"/>
      <c r="AH123" s="1578" t="s">
        <v>194</v>
      </c>
      <c r="AI123" s="1579"/>
      <c r="AJ123" s="1195">
        <f>SUM(AJ115:AJ122)</f>
        <v>0</v>
      </c>
      <c r="AK123" s="85"/>
      <c r="AL123" s="85"/>
      <c r="AM123" s="86"/>
      <c r="AN123" s="2070" t="str">
        <f>AJ123/$AJ$159</f>
        <v>#DIV/0!</v>
      </c>
      <c r="AO123" s="1957"/>
      <c r="AP123" s="1963"/>
      <c r="AQ123" s="1963"/>
      <c r="AR123" s="1963"/>
      <c r="AS123" s="1957"/>
      <c r="AT123" s="1957"/>
      <c r="AU123" s="1957"/>
      <c r="AV123" s="1957"/>
      <c r="AW123" s="1957"/>
      <c r="AX123" s="1957"/>
      <c r="AY123" s="1957"/>
      <c r="AZ123" s="2111"/>
      <c r="BA123" s="2111"/>
      <c r="BB123" s="2111"/>
      <c r="BC123" s="2082"/>
      <c r="BD123" s="2082"/>
      <c r="BE123" s="2082"/>
      <c r="BF123" s="2082"/>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2"/>
      <c r="AO124" s="1471"/>
      <c r="AP124" s="1963"/>
      <c r="AQ124" s="1963"/>
      <c r="AR124" s="1963"/>
      <c r="AS124" s="1471"/>
      <c r="AT124" s="1471"/>
      <c r="AU124" s="1471"/>
      <c r="AV124" s="1471"/>
      <c r="AW124" s="1471"/>
      <c r="AX124" s="1471"/>
      <c r="AY124" s="1471"/>
      <c r="AZ124" s="2111"/>
      <c r="BA124" s="2111"/>
      <c r="BB124" s="2111"/>
      <c r="BC124" s="2082"/>
      <c r="BD124" s="2082"/>
      <c r="BE124" s="2082"/>
      <c r="BF124" s="2082"/>
      <c r="BG124" s="34"/>
      <c r="BH124" s="34"/>
      <c r="BI124" s="34"/>
      <c r="BJ124" s="34"/>
      <c r="BK124" s="34"/>
      <c r="BL124" s="34"/>
      <c r="BM124" s="34"/>
      <c r="BN124" s="34"/>
      <c r="BO124" s="34"/>
      <c r="BP124" s="34"/>
      <c r="BQ124" s="34"/>
      <c r="BR124" s="34"/>
    </row>
    <row r="125" ht="12.75" customHeight="1">
      <c r="A125" s="307"/>
      <c r="B125" s="92"/>
      <c r="C125" s="2113" t="s">
        <v>733</v>
      </c>
      <c r="D125" s="308"/>
      <c r="E125" s="309"/>
      <c r="F125" s="309"/>
      <c r="G125" s="309"/>
      <c r="H125" s="309"/>
      <c r="I125" s="310"/>
      <c r="J125" s="310"/>
      <c r="K125" s="309"/>
      <c r="L125" s="309"/>
      <c r="M125" s="309"/>
      <c r="N125" s="309"/>
      <c r="O125" s="92"/>
      <c r="P125" s="407" t="s">
        <v>175</v>
      </c>
      <c r="Q125" s="255"/>
      <c r="R125" s="255"/>
      <c r="S125" s="253"/>
      <c r="T125" s="312" t="s">
        <v>176</v>
      </c>
      <c r="U125" s="85"/>
      <c r="V125" s="85"/>
      <c r="W125" s="85"/>
      <c r="X125" s="85"/>
      <c r="Y125" s="85"/>
      <c r="Z125" s="85"/>
      <c r="AA125" s="85"/>
      <c r="AB125" s="86"/>
      <c r="AC125" s="254" t="s">
        <v>177</v>
      </c>
      <c r="AD125" s="255"/>
      <c r="AE125" s="255"/>
      <c r="AF125" s="253"/>
      <c r="AG125" s="254" t="s">
        <v>160</v>
      </c>
      <c r="AH125" s="255"/>
      <c r="AI125" s="253"/>
      <c r="AJ125" s="254" t="s">
        <v>161</v>
      </c>
      <c r="AK125" s="255"/>
      <c r="AL125" s="255"/>
      <c r="AM125" s="253"/>
      <c r="AN125" s="2114"/>
      <c r="AO125" s="1471"/>
      <c r="AP125" s="1536"/>
      <c r="AQ125" s="1536"/>
      <c r="AR125" s="1536"/>
      <c r="AS125" s="1536"/>
      <c r="AT125" s="1471"/>
      <c r="AU125" s="1471"/>
      <c r="AV125" s="1471"/>
      <c r="AW125" s="1471"/>
      <c r="AX125" s="1471"/>
      <c r="AY125" s="1471"/>
      <c r="AZ125" s="2111"/>
      <c r="BA125" s="2111"/>
      <c r="BB125" s="2111"/>
      <c r="BC125" s="2082"/>
      <c r="BD125" s="2082"/>
      <c r="BE125" s="2082"/>
      <c r="BF125" s="2082"/>
      <c r="BG125" s="34"/>
      <c r="BH125" s="34"/>
      <c r="BI125" s="34"/>
      <c r="BJ125" s="34"/>
      <c r="BK125" s="34"/>
      <c r="BL125" s="34"/>
      <c r="BM125" s="34"/>
      <c r="BN125" s="34"/>
      <c r="BO125" s="34"/>
      <c r="BP125" s="34"/>
      <c r="BQ125" s="34"/>
      <c r="BR125" s="34"/>
    </row>
    <row r="126" ht="12.75" customHeight="1">
      <c r="A126" s="1500" t="s">
        <v>178</v>
      </c>
      <c r="B126" s="253"/>
      <c r="C126" s="1542" t="s">
        <v>179</v>
      </c>
      <c r="D126" s="85"/>
      <c r="E126" s="85"/>
      <c r="F126" s="85"/>
      <c r="G126" s="85"/>
      <c r="H126" s="85"/>
      <c r="I126" s="85"/>
      <c r="J126" s="86"/>
      <c r="K126" s="1542" t="s">
        <v>156</v>
      </c>
      <c r="L126" s="85"/>
      <c r="M126" s="85"/>
      <c r="N126" s="85"/>
      <c r="O126" s="86"/>
      <c r="P126" s="1519"/>
      <c r="Q126" s="251"/>
      <c r="R126" s="251"/>
      <c r="S126" s="261"/>
      <c r="T126" s="1519" t="s">
        <v>734</v>
      </c>
      <c r="U126" s="251"/>
      <c r="V126" s="251"/>
      <c r="W126" s="261"/>
      <c r="X126" s="322" t="s">
        <v>182</v>
      </c>
      <c r="Y126" s="263"/>
      <c r="Z126" s="1519" t="s">
        <v>129</v>
      </c>
      <c r="AA126" s="251"/>
      <c r="AB126" s="261"/>
      <c r="AC126" s="1497" t="s">
        <v>183</v>
      </c>
      <c r="AF126" s="263"/>
      <c r="AG126" s="1499"/>
      <c r="AH126" s="251"/>
      <c r="AI126" s="261"/>
      <c r="AJ126" s="1497" t="s">
        <v>169</v>
      </c>
      <c r="AM126" s="263"/>
      <c r="AN126" s="2114"/>
      <c r="AO126" s="1471"/>
      <c r="AP126" s="2077" t="s">
        <v>200</v>
      </c>
      <c r="AQ126" s="2078" t="s">
        <v>129</v>
      </c>
      <c r="AR126" s="2078" t="s">
        <v>184</v>
      </c>
      <c r="AS126" s="2079"/>
      <c r="AT126" s="1471"/>
      <c r="AU126" s="1471"/>
      <c r="AV126" s="1471"/>
      <c r="AW126" s="1471"/>
      <c r="AX126" s="1471"/>
      <c r="AY126" s="1471"/>
      <c r="AZ126" s="2111"/>
      <c r="BA126" s="2111"/>
      <c r="BB126" s="2111"/>
      <c r="BC126" s="2082"/>
      <c r="BD126" s="2082"/>
      <c r="BE126" s="2082"/>
      <c r="BF126" s="2082"/>
      <c r="BG126" s="34"/>
      <c r="BH126" s="34"/>
      <c r="BI126" s="34"/>
      <c r="BJ126" s="34"/>
      <c r="BK126" s="34"/>
      <c r="BL126" s="34"/>
      <c r="BM126" s="34"/>
      <c r="BN126" s="34"/>
      <c r="BO126" s="34"/>
      <c r="BP126" s="34"/>
      <c r="BQ126" s="34"/>
      <c r="BR126" s="34"/>
    </row>
    <row r="127" ht="12.75" customHeight="1">
      <c r="A127" s="1511" t="s">
        <v>185</v>
      </c>
      <c r="B127" s="263"/>
      <c r="C127" s="1546"/>
      <c r="D127" s="255"/>
      <c r="E127" s="255"/>
      <c r="F127" s="255"/>
      <c r="G127" s="255"/>
      <c r="H127" s="255"/>
      <c r="I127" s="255"/>
      <c r="J127" s="253"/>
      <c r="K127" s="2115"/>
      <c r="L127" s="255"/>
      <c r="M127" s="255"/>
      <c r="N127" s="255"/>
      <c r="O127" s="253"/>
      <c r="P127" s="331"/>
      <c r="Q127" s="255"/>
      <c r="R127" s="255"/>
      <c r="S127" s="253"/>
      <c r="T127" s="333">
        <v>0.85</v>
      </c>
      <c r="U127" s="255"/>
      <c r="V127" s="255"/>
      <c r="W127" s="253"/>
      <c r="X127" s="334">
        <v>1.0</v>
      </c>
      <c r="Y127" s="253"/>
      <c r="Z127" s="334">
        <f>IF(AS127&lt;0.2,"0.20",AS127)</f>
        <v>0.9</v>
      </c>
      <c r="AA127" s="255"/>
      <c r="AB127" s="253"/>
      <c r="AC127" s="1547">
        <f t="shared" ref="AC127:AC134" si="17">Z127*X127*T127*P127</f>
        <v>0</v>
      </c>
      <c r="AD127" s="255"/>
      <c r="AE127" s="255"/>
      <c r="AF127" s="253"/>
      <c r="AG127" s="1548">
        <v>1.0</v>
      </c>
      <c r="AH127" s="255"/>
      <c r="AI127" s="253"/>
      <c r="AJ127" s="1549">
        <f t="shared" ref="AJ127:AJ134" si="18">K127*AC127*AG127</f>
        <v>0</v>
      </c>
      <c r="AK127" s="255"/>
      <c r="AL127" s="255"/>
      <c r="AM127" s="253"/>
      <c r="AN127" s="2114"/>
      <c r="AO127" s="1471"/>
      <c r="AP127" s="2085">
        <f>+F86</f>
        <v>60</v>
      </c>
      <c r="AQ127" s="2086">
        <f>+A86</f>
        <v>7</v>
      </c>
      <c r="AR127" s="2087">
        <f t="shared" ref="AR127:AR134" si="20">AP127-AQ127</f>
        <v>53</v>
      </c>
      <c r="AS127" s="2088">
        <f t="shared" ref="AS127:AS134" si="21">ROUND(((0.1*AP127)+(0.9*AR127))/AP127,2)</f>
        <v>0.9</v>
      </c>
      <c r="AT127" s="1471"/>
      <c r="AU127" s="1471"/>
      <c r="AV127" s="1471"/>
      <c r="AW127" s="1471"/>
      <c r="AX127" s="1471"/>
      <c r="AY127" s="1471"/>
      <c r="AZ127" s="2111"/>
      <c r="BA127" s="2111"/>
      <c r="BB127" s="2111"/>
      <c r="BC127" s="2082"/>
      <c r="BD127" s="2082"/>
      <c r="BE127" s="2082"/>
      <c r="BF127" s="2082"/>
      <c r="BG127" s="34"/>
      <c r="BH127" s="34"/>
      <c r="BI127" s="34"/>
      <c r="BJ127" s="34"/>
      <c r="BK127" s="34"/>
      <c r="BL127" s="34"/>
      <c r="BM127" s="34"/>
      <c r="BN127" s="34"/>
      <c r="BO127" s="34"/>
      <c r="BP127" s="34"/>
      <c r="BQ127" s="34"/>
      <c r="BR127" s="34"/>
    </row>
    <row r="128" ht="12.75" customHeight="1">
      <c r="A128" s="1511" t="s">
        <v>186</v>
      </c>
      <c r="B128" s="263"/>
      <c r="C128" s="1552"/>
      <c r="J128" s="263"/>
      <c r="K128" s="2116"/>
      <c r="O128" s="263"/>
      <c r="P128" s="2117"/>
      <c r="S128" s="263"/>
      <c r="T128" s="346">
        <v>1.0</v>
      </c>
      <c r="W128" s="263"/>
      <c r="X128" s="346">
        <v>1.0</v>
      </c>
      <c r="Y128" s="263"/>
      <c r="Z128" s="346">
        <f t="shared" ref="Z128:Z134" si="22">IF(AS128&lt;0.6,"0.60",AS128)</f>
        <v>0.9</v>
      </c>
      <c r="AB128" s="263"/>
      <c r="AC128" s="1554">
        <f t="shared" si="17"/>
        <v>0</v>
      </c>
      <c r="AF128" s="263"/>
      <c r="AG128" s="1555">
        <v>1.0</v>
      </c>
      <c r="AI128" s="263"/>
      <c r="AJ128" s="1556">
        <f t="shared" si="18"/>
        <v>0</v>
      </c>
      <c r="AM128" s="263"/>
      <c r="AN128" s="2114"/>
      <c r="AO128" s="1471"/>
      <c r="AP128" s="2094">
        <f t="shared" ref="AP128:AQ128" si="19">+AP127</f>
        <v>60</v>
      </c>
      <c r="AQ128" s="2095">
        <f t="shared" si="19"/>
        <v>7</v>
      </c>
      <c r="AR128" s="2096">
        <f t="shared" si="20"/>
        <v>53</v>
      </c>
      <c r="AS128" s="2097">
        <f t="shared" si="21"/>
        <v>0.9</v>
      </c>
      <c r="AT128" s="1471"/>
      <c r="AU128" s="1471"/>
      <c r="AV128" s="1471"/>
      <c r="AW128" s="1471"/>
      <c r="AX128" s="1471"/>
      <c r="AY128" s="1471"/>
      <c r="AZ128" s="2111"/>
      <c r="BA128" s="2111"/>
      <c r="BB128" s="2111"/>
      <c r="BC128" s="2082"/>
      <c r="BD128" s="2082"/>
      <c r="BE128" s="2082"/>
      <c r="BF128" s="2082"/>
      <c r="BG128" s="34"/>
      <c r="BH128" s="34"/>
      <c r="BI128" s="34"/>
      <c r="BJ128" s="34"/>
      <c r="BK128" s="34"/>
      <c r="BL128" s="34"/>
      <c r="BM128" s="34"/>
      <c r="BN128" s="34"/>
      <c r="BO128" s="34"/>
      <c r="BP128" s="34"/>
      <c r="BQ128" s="34"/>
      <c r="BR128" s="34"/>
    </row>
    <row r="129" ht="12.75" hidden="1" customHeight="1">
      <c r="A129" s="1511" t="s">
        <v>187</v>
      </c>
      <c r="B129" s="263"/>
      <c r="C129" s="1552"/>
      <c r="J129" s="263"/>
      <c r="K129" s="2116"/>
      <c r="O129" s="263"/>
      <c r="P129" s="2117"/>
      <c r="S129" s="263"/>
      <c r="T129" s="346">
        <v>1.0</v>
      </c>
      <c r="W129" s="263"/>
      <c r="X129" s="346">
        <v>1.0</v>
      </c>
      <c r="Y129" s="263"/>
      <c r="Z129" s="346">
        <f t="shared" si="22"/>
        <v>0.9</v>
      </c>
      <c r="AB129" s="263"/>
      <c r="AC129" s="1554">
        <f t="shared" si="17"/>
        <v>0</v>
      </c>
      <c r="AF129" s="263"/>
      <c r="AG129" s="1555">
        <v>1.0</v>
      </c>
      <c r="AI129" s="263"/>
      <c r="AJ129" s="1556">
        <f t="shared" si="18"/>
        <v>0</v>
      </c>
      <c r="AM129" s="263"/>
      <c r="AN129" s="2114"/>
      <c r="AO129" s="1471"/>
      <c r="AP129" s="2094">
        <f t="shared" ref="AP129:AQ129" si="23">+AP128</f>
        <v>60</v>
      </c>
      <c r="AQ129" s="2095">
        <f t="shared" si="23"/>
        <v>7</v>
      </c>
      <c r="AR129" s="2096">
        <f t="shared" si="20"/>
        <v>53</v>
      </c>
      <c r="AS129" s="2097">
        <f t="shared" si="21"/>
        <v>0.9</v>
      </c>
      <c r="AT129" s="1471"/>
      <c r="AU129" s="1471"/>
      <c r="AV129" s="1471"/>
      <c r="AW129" s="1471"/>
      <c r="AX129" s="1471"/>
      <c r="AY129" s="1471"/>
      <c r="AZ129" s="2111"/>
      <c r="BA129" s="2111"/>
      <c r="BB129" s="2111"/>
      <c r="BC129" s="2082"/>
      <c r="BD129" s="2082"/>
      <c r="BE129" s="2082"/>
      <c r="BF129" s="2082"/>
      <c r="BG129" s="34"/>
      <c r="BH129" s="34"/>
      <c r="BI129" s="34"/>
      <c r="BJ129" s="34"/>
      <c r="BK129" s="34"/>
      <c r="BL129" s="34"/>
      <c r="BM129" s="34"/>
      <c r="BN129" s="34"/>
      <c r="BO129" s="34"/>
      <c r="BP129" s="34"/>
      <c r="BQ129" s="34"/>
      <c r="BR129" s="34"/>
    </row>
    <row r="130" ht="12.75" hidden="1" customHeight="1">
      <c r="A130" s="1511" t="s">
        <v>188</v>
      </c>
      <c r="B130" s="263"/>
      <c r="C130" s="1552"/>
      <c r="J130" s="263"/>
      <c r="K130" s="2116"/>
      <c r="O130" s="263"/>
      <c r="P130" s="2117"/>
      <c r="S130" s="263"/>
      <c r="T130" s="346">
        <v>1.0</v>
      </c>
      <c r="W130" s="263"/>
      <c r="X130" s="346">
        <v>1.0</v>
      </c>
      <c r="Y130" s="263"/>
      <c r="Z130" s="346">
        <f t="shared" si="22"/>
        <v>0.9</v>
      </c>
      <c r="AB130" s="263"/>
      <c r="AC130" s="1554">
        <f t="shared" si="17"/>
        <v>0</v>
      </c>
      <c r="AF130" s="263"/>
      <c r="AG130" s="1555">
        <v>1.0</v>
      </c>
      <c r="AI130" s="263"/>
      <c r="AJ130" s="1556">
        <f t="shared" si="18"/>
        <v>0</v>
      </c>
      <c r="AM130" s="263"/>
      <c r="AN130" s="2114"/>
      <c r="AO130" s="1471"/>
      <c r="AP130" s="2099">
        <f t="shared" ref="AP130:AQ130" si="24">+AP129</f>
        <v>60</v>
      </c>
      <c r="AQ130" s="2100">
        <f t="shared" si="24"/>
        <v>7</v>
      </c>
      <c r="AR130" s="2101">
        <f t="shared" si="20"/>
        <v>53</v>
      </c>
      <c r="AS130" s="2102">
        <f t="shared" si="21"/>
        <v>0.9</v>
      </c>
      <c r="AT130" s="1471"/>
      <c r="AU130" s="1471"/>
      <c r="AV130" s="1471"/>
      <c r="AW130" s="1471"/>
      <c r="AX130" s="1471"/>
      <c r="AY130" s="1471"/>
      <c r="AZ130" s="2111"/>
      <c r="BA130" s="2111"/>
      <c r="BB130" s="2111"/>
      <c r="BC130" s="2082"/>
      <c r="BD130" s="2082"/>
      <c r="BE130" s="2082"/>
      <c r="BF130" s="2082"/>
      <c r="BG130" s="34"/>
      <c r="BH130" s="34"/>
      <c r="BI130" s="34"/>
      <c r="BJ130" s="34"/>
      <c r="BK130" s="34"/>
      <c r="BL130" s="34"/>
      <c r="BM130" s="34"/>
      <c r="BN130" s="34"/>
      <c r="BO130" s="34"/>
      <c r="BP130" s="34"/>
      <c r="BQ130" s="34"/>
      <c r="BR130" s="34"/>
    </row>
    <row r="131" ht="12.75" hidden="1" customHeight="1">
      <c r="A131" s="1511" t="s">
        <v>189</v>
      </c>
      <c r="B131" s="365"/>
      <c r="C131" s="1567"/>
      <c r="J131" s="1568"/>
      <c r="K131" s="2116"/>
      <c r="O131" s="263"/>
      <c r="P131" s="2117"/>
      <c r="S131" s="263"/>
      <c r="T131" s="346">
        <v>1.0</v>
      </c>
      <c r="W131" s="263"/>
      <c r="X131" s="346">
        <v>1.0</v>
      </c>
      <c r="Y131" s="263"/>
      <c r="Z131" s="346">
        <f t="shared" si="22"/>
        <v>0.88</v>
      </c>
      <c r="AB131" s="263"/>
      <c r="AC131" s="1554">
        <f t="shared" si="17"/>
        <v>0</v>
      </c>
      <c r="AF131" s="263"/>
      <c r="AG131" s="1569">
        <v>1.0</v>
      </c>
      <c r="AI131" s="263"/>
      <c r="AJ131" s="1556">
        <f t="shared" si="18"/>
        <v>0</v>
      </c>
      <c r="AM131" s="263"/>
      <c r="AN131" s="2114"/>
      <c r="AO131" s="1471"/>
      <c r="AP131" s="2104">
        <v>75.0</v>
      </c>
      <c r="AQ131" s="2105">
        <v>10.0</v>
      </c>
      <c r="AR131" s="2096">
        <f t="shared" si="20"/>
        <v>65</v>
      </c>
      <c r="AS131" s="2097">
        <f t="shared" si="21"/>
        <v>0.88</v>
      </c>
      <c r="AT131" s="1471"/>
      <c r="AU131" s="1471"/>
      <c r="AV131" s="1471"/>
      <c r="AW131" s="1471"/>
      <c r="AX131" s="1471"/>
      <c r="AY131" s="1471"/>
      <c r="AZ131" s="2111"/>
      <c r="BA131" s="2111"/>
      <c r="BB131" s="2111"/>
      <c r="BC131" s="2082"/>
      <c r="BD131" s="2082"/>
      <c r="BE131" s="2082"/>
      <c r="BF131" s="2082"/>
      <c r="BG131" s="34"/>
      <c r="BH131" s="34"/>
      <c r="BI131" s="34"/>
      <c r="BJ131" s="34"/>
      <c r="BK131" s="34"/>
      <c r="BL131" s="34"/>
      <c r="BM131" s="34"/>
      <c r="BN131" s="34"/>
      <c r="BO131" s="34"/>
      <c r="BP131" s="34"/>
      <c r="BQ131" s="34"/>
      <c r="BR131" s="34"/>
    </row>
    <row r="132" ht="12.75" hidden="1" customHeight="1">
      <c r="A132" s="1511" t="s">
        <v>190</v>
      </c>
      <c r="B132" s="365"/>
      <c r="C132" s="1567"/>
      <c r="J132" s="1568"/>
      <c r="K132" s="2116"/>
      <c r="O132" s="263"/>
      <c r="P132" s="2117"/>
      <c r="S132" s="263"/>
      <c r="T132" s="346">
        <v>1.0</v>
      </c>
      <c r="W132" s="263"/>
      <c r="X132" s="346">
        <v>1.0</v>
      </c>
      <c r="Y132" s="263"/>
      <c r="Z132" s="346">
        <f t="shared" si="22"/>
        <v>0.88</v>
      </c>
      <c r="AB132" s="263"/>
      <c r="AC132" s="1554">
        <f t="shared" si="17"/>
        <v>0</v>
      </c>
      <c r="AF132" s="263"/>
      <c r="AG132" s="1569">
        <v>1.0</v>
      </c>
      <c r="AI132" s="263"/>
      <c r="AJ132" s="1556">
        <f t="shared" si="18"/>
        <v>0</v>
      </c>
      <c r="AM132" s="263"/>
      <c r="AN132" s="2114"/>
      <c r="AO132" s="1471"/>
      <c r="AP132" s="2104">
        <v>75.0</v>
      </c>
      <c r="AQ132" s="2105">
        <v>10.0</v>
      </c>
      <c r="AR132" s="2096">
        <f t="shared" si="20"/>
        <v>65</v>
      </c>
      <c r="AS132" s="2097">
        <f t="shared" si="21"/>
        <v>0.88</v>
      </c>
      <c r="AT132" s="1471"/>
      <c r="AU132" s="1471"/>
      <c r="AV132" s="1471"/>
      <c r="AW132" s="1471"/>
      <c r="AX132" s="1471"/>
      <c r="AY132" s="1471"/>
      <c r="AZ132" s="2111"/>
      <c r="BA132" s="2111"/>
      <c r="BB132" s="2111"/>
      <c r="BC132" s="2082"/>
      <c r="BD132" s="2082"/>
      <c r="BE132" s="2082"/>
      <c r="BF132" s="2082"/>
      <c r="BG132" s="34"/>
      <c r="BH132" s="34"/>
      <c r="BI132" s="34"/>
      <c r="BJ132" s="34"/>
      <c r="BK132" s="34"/>
      <c r="BL132" s="34"/>
      <c r="BM132" s="34"/>
      <c r="BN132" s="34"/>
      <c r="BO132" s="34"/>
      <c r="BP132" s="34"/>
      <c r="BQ132" s="34"/>
      <c r="BR132" s="34"/>
    </row>
    <row r="133" ht="12.75" hidden="1" customHeight="1">
      <c r="A133" s="1511" t="s">
        <v>191</v>
      </c>
      <c r="B133" s="263"/>
      <c r="C133" s="1567"/>
      <c r="J133" s="1568"/>
      <c r="K133" s="2116"/>
      <c r="O133" s="263"/>
      <c r="P133" s="2117"/>
      <c r="S133" s="263"/>
      <c r="T133" s="346">
        <v>1.0</v>
      </c>
      <c r="W133" s="263"/>
      <c r="X133" s="346">
        <v>1.0</v>
      </c>
      <c r="Y133" s="263"/>
      <c r="Z133" s="346">
        <f t="shared" si="22"/>
        <v>0.88</v>
      </c>
      <c r="AB133" s="263"/>
      <c r="AC133" s="1554">
        <f t="shared" si="17"/>
        <v>0</v>
      </c>
      <c r="AF133" s="263"/>
      <c r="AG133" s="1569">
        <v>1.0</v>
      </c>
      <c r="AI133" s="263"/>
      <c r="AJ133" s="1556">
        <f t="shared" si="18"/>
        <v>0</v>
      </c>
      <c r="AM133" s="263"/>
      <c r="AN133" s="2114"/>
      <c r="AO133" s="1471"/>
      <c r="AP133" s="2104">
        <v>75.0</v>
      </c>
      <c r="AQ133" s="2105">
        <v>10.0</v>
      </c>
      <c r="AR133" s="2096">
        <f t="shared" si="20"/>
        <v>65</v>
      </c>
      <c r="AS133" s="2097">
        <f t="shared" si="21"/>
        <v>0.88</v>
      </c>
      <c r="AT133" s="1471"/>
      <c r="AU133" s="1471"/>
      <c r="AV133" s="1471"/>
      <c r="AW133" s="1471"/>
      <c r="AX133" s="1471"/>
      <c r="AY133" s="1471"/>
      <c r="AZ133" s="2111"/>
      <c r="BA133" s="2111"/>
      <c r="BB133" s="2111"/>
      <c r="BC133" s="2082"/>
      <c r="BD133" s="2082"/>
      <c r="BE133" s="2082"/>
      <c r="BF133" s="2082"/>
      <c r="BG133" s="34"/>
      <c r="BH133" s="34"/>
      <c r="BI133" s="34"/>
      <c r="BJ133" s="34"/>
      <c r="BK133" s="34"/>
      <c r="BL133" s="34"/>
      <c r="BM133" s="34"/>
      <c r="BN133" s="34"/>
      <c r="BO133" s="34"/>
      <c r="BP133" s="34"/>
      <c r="BQ133" s="34"/>
      <c r="BR133" s="34"/>
    </row>
    <row r="134" ht="12.75" hidden="1" customHeight="1">
      <c r="A134" s="1519" t="s">
        <v>192</v>
      </c>
      <c r="B134" s="371"/>
      <c r="C134" s="1570"/>
      <c r="D134" s="251"/>
      <c r="E134" s="251"/>
      <c r="F134" s="251"/>
      <c r="G134" s="251"/>
      <c r="H134" s="251"/>
      <c r="I134" s="251"/>
      <c r="J134" s="1571"/>
      <c r="K134" s="2118"/>
      <c r="L134" s="251"/>
      <c r="M134" s="251"/>
      <c r="N134" s="251"/>
      <c r="O134" s="261"/>
      <c r="P134" s="2119"/>
      <c r="Q134" s="251"/>
      <c r="R134" s="251"/>
      <c r="S134" s="261"/>
      <c r="T134" s="1621">
        <v>1.0</v>
      </c>
      <c r="U134" s="251"/>
      <c r="V134" s="251"/>
      <c r="W134" s="261"/>
      <c r="X134" s="1621">
        <v>1.0</v>
      </c>
      <c r="Y134" s="261"/>
      <c r="Z134" s="346">
        <f t="shared" si="22"/>
        <v>0.88</v>
      </c>
      <c r="AB134" s="263"/>
      <c r="AC134" s="2120">
        <f t="shared" si="17"/>
        <v>0</v>
      </c>
      <c r="AD134" s="251"/>
      <c r="AE134" s="251"/>
      <c r="AF134" s="261"/>
      <c r="AG134" s="1569">
        <v>1.0</v>
      </c>
      <c r="AI134" s="263"/>
      <c r="AJ134" s="1556">
        <f t="shared" si="18"/>
        <v>0</v>
      </c>
      <c r="AM134" s="263"/>
      <c r="AN134" s="2114"/>
      <c r="AO134" s="1471"/>
      <c r="AP134" s="2108">
        <v>75.0</v>
      </c>
      <c r="AQ134" s="2109">
        <v>10.0</v>
      </c>
      <c r="AR134" s="2101">
        <f t="shared" si="20"/>
        <v>65</v>
      </c>
      <c r="AS134" s="2102">
        <f t="shared" si="21"/>
        <v>0.88</v>
      </c>
      <c r="AT134" s="1471"/>
      <c r="AU134" s="1471"/>
      <c r="AV134" s="1471"/>
      <c r="AW134" s="1471"/>
      <c r="AX134" s="1471"/>
      <c r="AY134" s="1471"/>
      <c r="AZ134" s="2111"/>
      <c r="BA134" s="2111"/>
      <c r="BB134" s="2111"/>
      <c r="BC134" s="2082"/>
      <c r="BD134" s="2082"/>
      <c r="BE134" s="2082"/>
      <c r="BF134" s="2082"/>
      <c r="BG134" s="34"/>
      <c r="BH134" s="34"/>
      <c r="BI134" s="34"/>
      <c r="BJ134" s="34"/>
      <c r="BK134" s="34"/>
      <c r="BL134" s="34"/>
      <c r="BM134" s="34"/>
      <c r="BN134" s="34"/>
      <c r="BO134" s="34"/>
      <c r="BP134" s="34"/>
      <c r="BQ134" s="34"/>
      <c r="BR134" s="34"/>
    </row>
    <row r="135" ht="12.75" customHeight="1">
      <c r="A135" s="1572"/>
      <c r="B135" s="86"/>
      <c r="C135" s="1573" t="s">
        <v>193</v>
      </c>
      <c r="D135" s="85"/>
      <c r="E135" s="85"/>
      <c r="F135" s="85"/>
      <c r="G135" s="85"/>
      <c r="H135" s="85"/>
      <c r="I135" s="85"/>
      <c r="J135" s="1574"/>
      <c r="K135" s="2110">
        <f>SUM(K127:K134)</f>
        <v>0</v>
      </c>
      <c r="L135" s="85"/>
      <c r="M135" s="85"/>
      <c r="N135" s="85"/>
      <c r="O135" s="86"/>
      <c r="P135" s="2121"/>
      <c r="Q135" s="1577"/>
      <c r="R135" s="1577"/>
      <c r="S135" s="1577"/>
      <c r="T135" s="1577"/>
      <c r="U135" s="1577"/>
      <c r="V135" s="1577"/>
      <c r="W135" s="1577"/>
      <c r="X135" s="1577"/>
      <c r="Y135" s="1577"/>
      <c r="Z135" s="1574"/>
      <c r="AA135" s="1574"/>
      <c r="AB135" s="1574"/>
      <c r="AC135" s="1577"/>
      <c r="AD135" s="1577"/>
      <c r="AE135" s="1577"/>
      <c r="AF135" s="1496"/>
      <c r="AG135" s="1496"/>
      <c r="AH135" s="1578" t="s">
        <v>194</v>
      </c>
      <c r="AI135" s="1579"/>
      <c r="AJ135" s="1195">
        <f>SUM(AJ127:AJ134)</f>
        <v>0</v>
      </c>
      <c r="AK135" s="85"/>
      <c r="AL135" s="85"/>
      <c r="AM135" s="86"/>
      <c r="AN135" s="2070" t="str">
        <f>AJ135/$AJ$159</f>
        <v>#DIV/0!</v>
      </c>
      <c r="AO135" s="1471"/>
      <c r="AP135" s="1536"/>
      <c r="AQ135" s="1536"/>
      <c r="AR135" s="1536"/>
      <c r="AS135" s="1536"/>
      <c r="AT135" s="1471"/>
      <c r="AU135" s="1471"/>
      <c r="AV135" s="1471"/>
      <c r="AW135" s="1471"/>
      <c r="AX135" s="1471"/>
      <c r="AY135" s="1471"/>
      <c r="AZ135" s="2111"/>
      <c r="BA135" s="2111"/>
      <c r="BB135" s="2111"/>
      <c r="BC135" s="2082"/>
      <c r="BD135" s="2082"/>
      <c r="BE135" s="2082"/>
      <c r="BF135" s="2082"/>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2"/>
      <c r="AI136" s="34"/>
      <c r="AJ136" s="2123"/>
      <c r="AK136" s="2123"/>
      <c r="AL136" s="2123"/>
      <c r="AM136" s="2123"/>
      <c r="AN136" s="2112"/>
      <c r="AO136" s="1471"/>
      <c r="AP136" s="1536"/>
      <c r="AQ136" s="1536"/>
      <c r="AR136" s="1536"/>
      <c r="AS136" s="1536"/>
      <c r="AT136" s="1471"/>
      <c r="AU136" s="1471"/>
      <c r="AV136" s="1471"/>
      <c r="AW136" s="1471"/>
      <c r="AX136" s="1471"/>
      <c r="AY136" s="1471"/>
      <c r="AZ136" s="2111"/>
      <c r="BA136" s="2111"/>
      <c r="BB136" s="2111"/>
      <c r="BC136" s="2082"/>
      <c r="BD136" s="2082"/>
      <c r="BE136" s="2082"/>
      <c r="BF136" s="2082"/>
      <c r="BG136" s="34"/>
      <c r="BH136" s="34"/>
      <c r="BI136" s="34"/>
      <c r="BJ136" s="34"/>
      <c r="BK136" s="34"/>
      <c r="BL136" s="34"/>
      <c r="BM136" s="34"/>
      <c r="BN136" s="34"/>
      <c r="BO136" s="34"/>
      <c r="BP136" s="34"/>
      <c r="BQ136" s="34"/>
      <c r="BR136" s="34"/>
    </row>
    <row r="137" ht="12.75" customHeight="1">
      <c r="A137" s="400"/>
      <c r="B137" s="392"/>
      <c r="C137" s="2124" t="s">
        <v>735</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2"/>
      <c r="AO137" s="1471"/>
      <c r="AP137" s="1532" t="s">
        <v>173</v>
      </c>
      <c r="AQ137" s="1856"/>
      <c r="AR137" s="1856"/>
      <c r="AS137" s="1857"/>
      <c r="AT137" s="1471"/>
      <c r="AU137" s="1471"/>
      <c r="AV137" s="1471"/>
      <c r="AW137" s="1471"/>
      <c r="AX137" s="1471"/>
      <c r="AY137" s="1471"/>
      <c r="AZ137" s="2111"/>
      <c r="BA137" s="2111"/>
      <c r="BB137" s="2111"/>
      <c r="BC137" s="2082"/>
      <c r="BD137" s="2082"/>
      <c r="BE137" s="2082"/>
      <c r="BF137" s="2082"/>
      <c r="BG137" s="34"/>
      <c r="BH137" s="34"/>
      <c r="BI137" s="34"/>
      <c r="BJ137" s="34"/>
      <c r="BK137" s="34"/>
      <c r="BL137" s="34"/>
      <c r="BM137" s="34"/>
      <c r="BN137" s="34"/>
      <c r="BO137" s="34"/>
      <c r="BP137" s="34"/>
      <c r="BQ137" s="34"/>
      <c r="BR137" s="34"/>
    </row>
    <row r="138" ht="11.25" customHeight="1">
      <c r="A138" s="1500" t="s">
        <v>196</v>
      </c>
      <c r="B138" s="255"/>
      <c r="C138" s="255"/>
      <c r="D138" s="255"/>
      <c r="E138" s="255"/>
      <c r="F138" s="255"/>
      <c r="G138" s="255"/>
      <c r="H138" s="255"/>
      <c r="I138" s="253"/>
      <c r="J138" s="320" t="s">
        <v>197</v>
      </c>
      <c r="K138" s="255"/>
      <c r="L138" s="253"/>
      <c r="M138" s="320" t="s">
        <v>198</v>
      </c>
      <c r="N138" s="255"/>
      <c r="O138" s="253"/>
      <c r="P138" s="1500" t="s">
        <v>161</v>
      </c>
      <c r="Q138" s="255"/>
      <c r="R138" s="255"/>
      <c r="S138" s="253"/>
      <c r="T138" s="1500" t="s">
        <v>176</v>
      </c>
      <c r="U138" s="255"/>
      <c r="V138" s="255"/>
      <c r="W138" s="255"/>
      <c r="X138" s="255"/>
      <c r="Y138" s="255"/>
      <c r="Z138" s="255"/>
      <c r="AA138" s="255"/>
      <c r="AB138" s="253"/>
      <c r="AC138" s="1494" t="s">
        <v>177</v>
      </c>
      <c r="AD138" s="255"/>
      <c r="AE138" s="255"/>
      <c r="AF138" s="253"/>
      <c r="AG138" s="1494" t="s">
        <v>160</v>
      </c>
      <c r="AH138" s="255"/>
      <c r="AI138" s="253"/>
      <c r="AJ138" s="1494" t="s">
        <v>161</v>
      </c>
      <c r="AK138" s="255"/>
      <c r="AL138" s="255"/>
      <c r="AM138" s="253"/>
      <c r="AN138" s="2076"/>
      <c r="AO138" s="1957"/>
      <c r="AP138" s="1583"/>
      <c r="AS138" s="1858"/>
      <c r="AT138" s="1957"/>
      <c r="AU138" s="1957"/>
      <c r="AV138" s="1957"/>
      <c r="AW138" s="1957"/>
      <c r="AX138" s="1957"/>
      <c r="AY138" s="1957"/>
      <c r="AZ138" s="2111"/>
      <c r="BA138" s="2111"/>
      <c r="BB138" s="2111"/>
      <c r="BC138" s="2082"/>
      <c r="BD138" s="2082"/>
      <c r="BE138" s="2082"/>
      <c r="BF138" s="2082"/>
      <c r="BG138" s="34"/>
      <c r="BH138" s="34"/>
      <c r="BI138" s="34"/>
      <c r="BJ138" s="34"/>
    </row>
    <row r="139">
      <c r="A139" s="260"/>
      <c r="B139" s="251"/>
      <c r="C139" s="251"/>
      <c r="D139" s="251"/>
      <c r="E139" s="251"/>
      <c r="F139" s="251"/>
      <c r="G139" s="251"/>
      <c r="H139" s="251"/>
      <c r="I139" s="261"/>
      <c r="J139" s="260"/>
      <c r="K139" s="251"/>
      <c r="L139" s="261"/>
      <c r="M139" s="260"/>
      <c r="N139" s="251"/>
      <c r="O139" s="261"/>
      <c r="P139" s="1519" t="s">
        <v>199</v>
      </c>
      <c r="Q139" s="251"/>
      <c r="R139" s="251"/>
      <c r="S139" s="261"/>
      <c r="T139" s="1542" t="s">
        <v>135</v>
      </c>
      <c r="U139" s="85"/>
      <c r="V139" s="85"/>
      <c r="W139" s="85"/>
      <c r="X139" s="86"/>
      <c r="Y139" s="1589" t="s">
        <v>129</v>
      </c>
      <c r="Z139" s="85"/>
      <c r="AA139" s="85"/>
      <c r="AB139" s="86"/>
      <c r="AC139" s="1499" t="s">
        <v>183</v>
      </c>
      <c r="AD139" s="251"/>
      <c r="AE139" s="251"/>
      <c r="AF139" s="261"/>
      <c r="AG139" s="1499"/>
      <c r="AH139" s="251"/>
      <c r="AI139" s="261"/>
      <c r="AJ139" s="1499" t="s">
        <v>169</v>
      </c>
      <c r="AK139" s="251"/>
      <c r="AL139" s="251"/>
      <c r="AM139" s="261"/>
      <c r="AN139" s="2076"/>
      <c r="AO139" s="1957"/>
      <c r="AP139" s="1586"/>
      <c r="AQ139" s="1859"/>
      <c r="AR139" s="1859"/>
      <c r="AS139" s="1860"/>
      <c r="AT139" s="1957"/>
      <c r="AU139" s="1957"/>
      <c r="AV139" s="1957"/>
      <c r="AW139" s="1957"/>
      <c r="AX139" s="1957"/>
      <c r="AY139" s="1957"/>
      <c r="AZ139" s="2111"/>
      <c r="BA139" s="2111"/>
      <c r="BB139" s="2111"/>
      <c r="BC139" s="2082"/>
      <c r="BD139" s="2082"/>
      <c r="BE139" s="2082"/>
      <c r="BF139" s="2082"/>
      <c r="BG139" s="34"/>
      <c r="BH139" s="34"/>
      <c r="BI139" s="34"/>
      <c r="BJ139" s="34"/>
    </row>
    <row r="140" ht="16.5" customHeight="1">
      <c r="A140" s="1511" t="s">
        <v>185</v>
      </c>
      <c r="C140" s="1166"/>
      <c r="I140" s="263"/>
      <c r="J140" s="1167"/>
      <c r="L140" s="263"/>
      <c r="M140" s="2125"/>
      <c r="N140" s="255"/>
      <c r="O140" s="253"/>
      <c r="P140" s="1169"/>
      <c r="S140" s="263"/>
      <c r="T140" s="346">
        <v>0.85</v>
      </c>
      <c r="X140" s="263"/>
      <c r="Y140" s="346">
        <f t="shared" ref="Y140:Y141" si="25">+AS140</f>
        <v>0.91</v>
      </c>
      <c r="AB140" s="263"/>
      <c r="AC140" s="1170">
        <f t="shared" ref="AC140:AC155" si="26">P140*T140*Y140</f>
        <v>0</v>
      </c>
      <c r="AF140" s="263"/>
      <c r="AG140" s="1171">
        <v>1.0</v>
      </c>
      <c r="AI140" s="263"/>
      <c r="AJ140" s="1170">
        <f t="shared" ref="AJ140:AJ156" si="27">J140*AC140*AG140</f>
        <v>0</v>
      </c>
      <c r="AM140" s="263"/>
      <c r="AN140" s="2076"/>
      <c r="AO140" s="1957"/>
      <c r="AP140" s="2094">
        <v>50.0</v>
      </c>
      <c r="AQ140" s="2095">
        <v>5.0</v>
      </c>
      <c r="AR140" s="2096">
        <f t="shared" ref="AR140:AR143" si="28">AP140-AQ140</f>
        <v>45</v>
      </c>
      <c r="AS140" s="2126">
        <f t="shared" ref="AS140:AS156" si="29">ROUND(((0.1*AP140)+(0.9*AR140))/AP140,2)</f>
        <v>0.91</v>
      </c>
      <c r="AT140" s="1957"/>
      <c r="AU140" s="1957"/>
      <c r="AV140" s="1957"/>
      <c r="AW140" s="1957"/>
      <c r="AX140" s="1957"/>
      <c r="AY140" s="1957"/>
      <c r="AZ140" s="2111"/>
      <c r="BA140" s="2111"/>
      <c r="BB140" s="2111"/>
      <c r="BC140" s="2082"/>
      <c r="BD140" s="2082"/>
      <c r="BE140" s="2082"/>
      <c r="BF140" s="2082"/>
      <c r="BG140" s="34"/>
      <c r="BH140" s="34"/>
      <c r="BI140" s="34"/>
      <c r="BJ140" s="34"/>
    </row>
    <row r="141" ht="16.5" customHeight="1">
      <c r="A141" s="1511" t="s">
        <v>186</v>
      </c>
      <c r="C141" s="1598"/>
      <c r="D141" s="251"/>
      <c r="E141" s="251"/>
      <c r="F141" s="251"/>
      <c r="G141" s="251"/>
      <c r="H141" s="251"/>
      <c r="I141" s="261"/>
      <c r="J141" s="1167"/>
      <c r="L141" s="263"/>
      <c r="M141" s="1175"/>
      <c r="O141" s="263"/>
      <c r="P141" s="1170"/>
      <c r="S141" s="263"/>
      <c r="T141" s="346">
        <v>0.91</v>
      </c>
      <c r="X141" s="263"/>
      <c r="Y141" s="346">
        <f t="shared" si="25"/>
        <v>0.9</v>
      </c>
      <c r="AB141" s="263"/>
      <c r="AC141" s="1170">
        <f t="shared" si="26"/>
        <v>0</v>
      </c>
      <c r="AF141" s="263"/>
      <c r="AG141" s="1171">
        <v>1.0</v>
      </c>
      <c r="AI141" s="263"/>
      <c r="AJ141" s="1170">
        <f t="shared" si="27"/>
        <v>0</v>
      </c>
      <c r="AM141" s="263"/>
      <c r="AN141" s="2076"/>
      <c r="AO141" s="1957"/>
      <c r="AP141" s="2094">
        <v>45.0</v>
      </c>
      <c r="AQ141" s="2095">
        <v>5.0</v>
      </c>
      <c r="AR141" s="2096">
        <f t="shared" si="28"/>
        <v>40</v>
      </c>
      <c r="AS141" s="2097">
        <f t="shared" si="29"/>
        <v>0.9</v>
      </c>
      <c r="AT141" s="1957"/>
      <c r="AU141" s="1957"/>
      <c r="AV141" s="1957"/>
      <c r="AW141" s="1957"/>
      <c r="AX141" s="1957"/>
      <c r="AY141" s="1957"/>
      <c r="AZ141" s="2111"/>
      <c r="BA141" s="2111"/>
      <c r="BB141" s="2111"/>
      <c r="BC141" s="2082"/>
      <c r="BD141" s="2082"/>
      <c r="BE141" s="2082"/>
      <c r="BF141" s="2082"/>
      <c r="BG141" s="34"/>
      <c r="BH141" s="34"/>
      <c r="BI141" s="34"/>
      <c r="BJ141" s="34"/>
    </row>
    <row r="142" ht="13.5" hidden="1" customHeight="1">
      <c r="A142" s="1511" t="s">
        <v>187</v>
      </c>
      <c r="C142" s="1173"/>
      <c r="I142" s="263"/>
      <c r="J142" s="1174"/>
      <c r="L142" s="263"/>
      <c r="M142" s="1175"/>
      <c r="O142" s="263"/>
      <c r="P142" s="1170"/>
      <c r="S142" s="263"/>
      <c r="T142" s="346"/>
      <c r="X142" s="263"/>
      <c r="Y142" s="346"/>
      <c r="AB142" s="263"/>
      <c r="AC142" s="1170">
        <f t="shared" si="26"/>
        <v>0</v>
      </c>
      <c r="AF142" s="263"/>
      <c r="AG142" s="1171">
        <v>1.0</v>
      </c>
      <c r="AI142" s="263"/>
      <c r="AJ142" s="1170">
        <f t="shared" si="27"/>
        <v>0</v>
      </c>
      <c r="AM142" s="263"/>
      <c r="AN142" s="2076"/>
      <c r="AO142" s="1957"/>
      <c r="AP142" s="2099">
        <v>45.0</v>
      </c>
      <c r="AQ142" s="2127">
        <v>4.0</v>
      </c>
      <c r="AR142" s="2101">
        <f t="shared" si="28"/>
        <v>41</v>
      </c>
      <c r="AS142" s="2102">
        <f t="shared" si="29"/>
        <v>0.92</v>
      </c>
      <c r="AT142" s="1957"/>
      <c r="AU142" s="1957"/>
      <c r="AV142" s="1957"/>
      <c r="AW142" s="1957"/>
      <c r="AX142" s="1957"/>
      <c r="AY142" s="1957"/>
      <c r="AZ142" s="2111"/>
      <c r="BA142" s="2111"/>
      <c r="BB142" s="2111"/>
      <c r="BC142" s="2082"/>
      <c r="BD142" s="2082"/>
      <c r="BE142" s="2082"/>
      <c r="BF142" s="2082"/>
      <c r="BG142" s="34"/>
      <c r="BH142" s="34"/>
      <c r="BI142" s="34"/>
      <c r="BJ142" s="34"/>
    </row>
    <row r="143" ht="14.25" hidden="1" customHeight="1">
      <c r="A143" s="1511" t="s">
        <v>188</v>
      </c>
      <c r="C143" s="1173"/>
      <c r="I143" s="263"/>
      <c r="J143" s="1174"/>
      <c r="L143" s="263"/>
      <c r="M143" s="1175"/>
      <c r="O143" s="263"/>
      <c r="P143" s="1170"/>
      <c r="S143" s="263"/>
      <c r="T143" s="346"/>
      <c r="X143" s="263"/>
      <c r="Y143" s="346"/>
      <c r="AB143" s="263"/>
      <c r="AC143" s="1170">
        <f t="shared" si="26"/>
        <v>0</v>
      </c>
      <c r="AF143" s="263"/>
      <c r="AG143" s="1171">
        <v>1.0</v>
      </c>
      <c r="AI143" s="263"/>
      <c r="AJ143" s="1170">
        <f t="shared" si="27"/>
        <v>0</v>
      </c>
      <c r="AM143" s="263"/>
      <c r="AN143" s="2114"/>
      <c r="AO143" s="1471"/>
      <c r="AP143" s="2099">
        <v>70.0</v>
      </c>
      <c r="AQ143" s="2100">
        <v>0.0</v>
      </c>
      <c r="AR143" s="2101">
        <f t="shared" si="28"/>
        <v>70</v>
      </c>
      <c r="AS143" s="2102">
        <f t="shared" si="29"/>
        <v>1</v>
      </c>
      <c r="AT143" s="1471"/>
      <c r="AU143" s="1471"/>
      <c r="AV143" s="1471"/>
      <c r="AW143" s="1471"/>
      <c r="AX143" s="1471"/>
      <c r="AY143" s="1471"/>
      <c r="AZ143" s="2111"/>
      <c r="BA143" s="2111"/>
      <c r="BB143" s="2111"/>
      <c r="BC143" s="2082"/>
      <c r="BD143" s="2082"/>
      <c r="BE143" s="2082"/>
      <c r="BF143" s="2082"/>
      <c r="BG143" s="34"/>
      <c r="BH143" s="34"/>
      <c r="BI143" s="34"/>
      <c r="BJ143" s="34"/>
      <c r="BK143" s="34"/>
      <c r="BL143" s="34"/>
      <c r="BM143" s="34"/>
      <c r="BN143" s="34"/>
      <c r="BO143" s="34"/>
      <c r="BP143" s="34"/>
      <c r="BQ143" s="34"/>
      <c r="BR143" s="34"/>
    </row>
    <row r="144" ht="12.75" hidden="1" customHeight="1">
      <c r="A144" s="1511" t="s">
        <v>189</v>
      </c>
      <c r="C144" s="1598"/>
      <c r="D144" s="251"/>
      <c r="E144" s="251"/>
      <c r="F144" s="251"/>
      <c r="G144" s="251"/>
      <c r="H144" s="251"/>
      <c r="I144" s="261"/>
      <c r="J144" s="1174"/>
      <c r="L144" s="263"/>
      <c r="M144" s="1175"/>
      <c r="O144" s="263"/>
      <c r="P144" s="1170"/>
      <c r="S144" s="263"/>
      <c r="T144" s="346"/>
      <c r="X144" s="263"/>
      <c r="Y144" s="346"/>
      <c r="AB144" s="263"/>
      <c r="AC144" s="1170">
        <f t="shared" si="26"/>
        <v>0</v>
      </c>
      <c r="AF144" s="263"/>
      <c r="AG144" s="1171">
        <v>1.0</v>
      </c>
      <c r="AI144" s="263"/>
      <c r="AJ144" s="1170">
        <f t="shared" si="27"/>
        <v>0</v>
      </c>
      <c r="AM144" s="263"/>
      <c r="AN144" s="2076"/>
      <c r="AO144" s="1957"/>
      <c r="AP144" s="2099">
        <v>70.0</v>
      </c>
      <c r="AQ144" s="2100">
        <v>16.0</v>
      </c>
      <c r="AR144" s="2128">
        <v>0.0</v>
      </c>
      <c r="AS144" s="2102">
        <f t="shared" si="29"/>
        <v>0.1</v>
      </c>
      <c r="AT144" s="1957"/>
      <c r="AU144" s="1957"/>
      <c r="AV144" s="1957"/>
      <c r="AW144" s="1957"/>
      <c r="AX144" s="1957"/>
      <c r="AY144" s="1957"/>
      <c r="AZ144" s="2111"/>
      <c r="BA144" s="2111"/>
      <c r="BB144" s="2111"/>
      <c r="BC144" s="2082"/>
      <c r="BD144" s="2082"/>
      <c r="BE144" s="2082"/>
      <c r="BF144" s="2082"/>
      <c r="BG144" s="34"/>
      <c r="BH144" s="34"/>
      <c r="BI144" s="34"/>
      <c r="BJ144" s="34"/>
    </row>
    <row r="145" ht="12.75" hidden="1" customHeight="1">
      <c r="A145" s="1184"/>
      <c r="B145" s="440"/>
      <c r="C145" s="1173"/>
      <c r="I145" s="263"/>
      <c r="J145" s="1174"/>
      <c r="L145" s="263"/>
      <c r="M145" s="1610"/>
      <c r="O145" s="263"/>
      <c r="P145" s="1170"/>
      <c r="S145" s="263"/>
      <c r="T145" s="346">
        <v>1.0</v>
      </c>
      <c r="X145" s="263"/>
      <c r="Y145" s="346">
        <f t="shared" ref="Y145:Y155" si="30">+AS145</f>
        <v>0.78</v>
      </c>
      <c r="AB145" s="263"/>
      <c r="AC145" s="1170">
        <f t="shared" si="26"/>
        <v>0</v>
      </c>
      <c r="AF145" s="263"/>
      <c r="AG145" s="1171">
        <v>1.0</v>
      </c>
      <c r="AI145" s="263"/>
      <c r="AJ145" s="1170">
        <f t="shared" si="27"/>
        <v>0</v>
      </c>
      <c r="AM145" s="263"/>
      <c r="AN145" s="2076"/>
      <c r="AO145" s="1957"/>
      <c r="AP145" s="2104">
        <v>60.0</v>
      </c>
      <c r="AQ145" s="2129">
        <v>15.0</v>
      </c>
      <c r="AR145" s="2130">
        <f t="shared" ref="AR145:AR156" si="31">AP145-AQ145</f>
        <v>45</v>
      </c>
      <c r="AS145" s="2097">
        <f t="shared" si="29"/>
        <v>0.78</v>
      </c>
      <c r="AT145" s="1957"/>
      <c r="AU145" s="1957"/>
      <c r="AV145" s="1957"/>
      <c r="AW145" s="1957"/>
      <c r="AX145" s="1957"/>
      <c r="AY145" s="1957"/>
      <c r="AZ145" s="2111"/>
      <c r="BA145" s="2111"/>
      <c r="BB145" s="2111"/>
      <c r="BC145" s="2082"/>
      <c r="BD145" s="2082"/>
      <c r="BE145" s="2082"/>
      <c r="BF145" s="2082"/>
      <c r="BG145" s="34"/>
      <c r="BH145" s="34"/>
      <c r="BI145" s="34"/>
      <c r="BJ145" s="34"/>
    </row>
    <row r="146" ht="12.75" hidden="1" customHeight="1">
      <c r="A146" s="1614"/>
      <c r="B146" s="1351"/>
      <c r="C146" s="1173"/>
      <c r="I146" s="263"/>
      <c r="J146" s="1174"/>
      <c r="L146" s="263"/>
      <c r="M146" s="1610"/>
      <c r="O146" s="263"/>
      <c r="P146" s="1170"/>
      <c r="S146" s="263"/>
      <c r="T146" s="346">
        <v>1.0</v>
      </c>
      <c r="X146" s="263"/>
      <c r="Y146" s="346">
        <f t="shared" si="30"/>
        <v>0.72</v>
      </c>
      <c r="AB146" s="263"/>
      <c r="AC146" s="1170">
        <f t="shared" si="26"/>
        <v>0</v>
      </c>
      <c r="AF146" s="263"/>
      <c r="AG146" s="1171">
        <v>1.0</v>
      </c>
      <c r="AI146" s="263"/>
      <c r="AJ146" s="1170">
        <f t="shared" si="27"/>
        <v>0</v>
      </c>
      <c r="AM146" s="263"/>
      <c r="AN146" s="2076"/>
      <c r="AO146" s="1957"/>
      <c r="AP146" s="2104">
        <v>45.0</v>
      </c>
      <c r="AQ146" s="2129">
        <v>14.0</v>
      </c>
      <c r="AR146" s="2130">
        <f t="shared" si="31"/>
        <v>31</v>
      </c>
      <c r="AS146" s="2097">
        <f t="shared" si="29"/>
        <v>0.72</v>
      </c>
      <c r="AT146" s="1957"/>
      <c r="AU146" s="1957"/>
      <c r="AV146" s="1957"/>
      <c r="AW146" s="1957"/>
      <c r="AX146" s="1957"/>
      <c r="AY146" s="1957"/>
      <c r="AZ146" s="2111"/>
      <c r="BA146" s="2111"/>
      <c r="BB146" s="2111"/>
      <c r="BC146" s="2082"/>
      <c r="BD146" s="2082"/>
      <c r="BE146" s="2082"/>
      <c r="BF146" s="2082"/>
      <c r="BG146" s="34"/>
      <c r="BH146" s="34"/>
      <c r="BI146" s="34"/>
      <c r="BJ146" s="34"/>
    </row>
    <row r="147" ht="12.75" hidden="1" customHeight="1">
      <c r="A147" s="1614"/>
      <c r="B147" s="1351"/>
      <c r="C147" s="1184"/>
      <c r="D147" s="1351"/>
      <c r="E147" s="1351"/>
      <c r="F147" s="1351"/>
      <c r="G147" s="1351"/>
      <c r="H147" s="1351"/>
      <c r="I147" s="1615"/>
      <c r="J147" s="1174"/>
      <c r="L147" s="263"/>
      <c r="M147" s="1610"/>
      <c r="O147" s="263"/>
      <c r="P147" s="1182"/>
      <c r="S147" s="263"/>
      <c r="T147" s="346">
        <v>1.0</v>
      </c>
      <c r="X147" s="263"/>
      <c r="Y147" s="346">
        <f t="shared" si="30"/>
        <v>0.96</v>
      </c>
      <c r="AB147" s="263"/>
      <c r="AC147" s="1170">
        <f t="shared" si="26"/>
        <v>0</v>
      </c>
      <c r="AF147" s="263"/>
      <c r="AG147" s="1171">
        <v>1.0</v>
      </c>
      <c r="AI147" s="263"/>
      <c r="AJ147" s="1170">
        <f t="shared" si="27"/>
        <v>0</v>
      </c>
      <c r="AM147" s="263"/>
      <c r="AN147" s="2076"/>
      <c r="AO147" s="1957"/>
      <c r="AP147" s="2104">
        <v>45.0</v>
      </c>
      <c r="AQ147" s="2129">
        <v>2.0</v>
      </c>
      <c r="AR147" s="2130">
        <f t="shared" si="31"/>
        <v>43</v>
      </c>
      <c r="AS147" s="2097">
        <f t="shared" si="29"/>
        <v>0.96</v>
      </c>
      <c r="AT147" s="1957"/>
      <c r="AU147" s="1957"/>
      <c r="AV147" s="1957"/>
      <c r="AW147" s="1957"/>
      <c r="AX147" s="1957"/>
      <c r="AY147" s="1957"/>
      <c r="AZ147" s="2111"/>
      <c r="BA147" s="2111"/>
      <c r="BB147" s="2111"/>
      <c r="BC147" s="2082"/>
      <c r="BD147" s="2082"/>
      <c r="BE147" s="2082"/>
      <c r="BF147" s="2082"/>
    </row>
    <row r="148" ht="12.75" hidden="1" customHeight="1">
      <c r="A148" s="1616"/>
      <c r="B148" s="1185"/>
      <c r="C148" s="1184"/>
      <c r="D148" s="1185"/>
      <c r="E148" s="1185"/>
      <c r="F148" s="1185"/>
      <c r="G148" s="1185"/>
      <c r="H148" s="1185"/>
      <c r="I148" s="1186"/>
      <c r="J148" s="1174"/>
      <c r="L148" s="263"/>
      <c r="M148" s="1610"/>
      <c r="O148" s="263"/>
      <c r="P148" s="1170"/>
      <c r="S148" s="263"/>
      <c r="T148" s="346">
        <v>1.0</v>
      </c>
      <c r="X148" s="263"/>
      <c r="Y148" s="346">
        <f t="shared" si="30"/>
        <v>0.8</v>
      </c>
      <c r="AB148" s="263"/>
      <c r="AC148" s="1170">
        <f t="shared" si="26"/>
        <v>0</v>
      </c>
      <c r="AF148" s="263"/>
      <c r="AG148" s="1171">
        <v>1.0</v>
      </c>
      <c r="AI148" s="263"/>
      <c r="AJ148" s="1170">
        <f t="shared" si="27"/>
        <v>0</v>
      </c>
      <c r="AM148" s="263"/>
      <c r="AN148" s="2076"/>
      <c r="AO148" s="1957"/>
      <c r="AP148" s="2104">
        <v>45.0</v>
      </c>
      <c r="AQ148" s="2129">
        <v>10.0</v>
      </c>
      <c r="AR148" s="2130">
        <f t="shared" si="31"/>
        <v>35</v>
      </c>
      <c r="AS148" s="2097">
        <f t="shared" si="29"/>
        <v>0.8</v>
      </c>
      <c r="AT148" s="1957"/>
      <c r="AU148" s="1957"/>
      <c r="AV148" s="1957"/>
      <c r="AW148" s="1957"/>
      <c r="AX148" s="1957"/>
      <c r="AY148" s="1957"/>
      <c r="AZ148" s="2111"/>
      <c r="BA148" s="2111"/>
      <c r="BB148" s="2111"/>
      <c r="BC148" s="2082"/>
      <c r="BD148" s="2082"/>
      <c r="BE148" s="2082"/>
      <c r="BF148" s="2082"/>
    </row>
    <row r="149" ht="12.75" hidden="1" customHeight="1">
      <c r="A149" s="1616"/>
      <c r="B149" s="1185"/>
      <c r="C149" s="1184"/>
      <c r="D149" s="1185"/>
      <c r="E149" s="1185"/>
      <c r="F149" s="1185"/>
      <c r="G149" s="1185"/>
      <c r="H149" s="1185"/>
      <c r="I149" s="1186"/>
      <c r="J149" s="1174"/>
      <c r="L149" s="263"/>
      <c r="M149" s="1610"/>
      <c r="O149" s="263"/>
      <c r="P149" s="1182"/>
      <c r="S149" s="263"/>
      <c r="T149" s="346">
        <v>1.0</v>
      </c>
      <c r="X149" s="263"/>
      <c r="Y149" s="346">
        <f t="shared" si="30"/>
        <v>0.8</v>
      </c>
      <c r="AB149" s="263"/>
      <c r="AC149" s="1170">
        <f t="shared" si="26"/>
        <v>0</v>
      </c>
      <c r="AF149" s="263"/>
      <c r="AG149" s="1171">
        <v>1.0</v>
      </c>
      <c r="AI149" s="263"/>
      <c r="AJ149" s="1170">
        <f t="shared" si="27"/>
        <v>0</v>
      </c>
      <c r="AM149" s="263"/>
      <c r="AN149" s="2076"/>
      <c r="AO149" s="1957"/>
      <c r="AP149" s="2104">
        <v>45.0</v>
      </c>
      <c r="AQ149" s="2129">
        <v>10.0</v>
      </c>
      <c r="AR149" s="2130">
        <f t="shared" si="31"/>
        <v>35</v>
      </c>
      <c r="AS149" s="2097">
        <f t="shared" si="29"/>
        <v>0.8</v>
      </c>
      <c r="AT149" s="1957"/>
      <c r="AU149" s="1957"/>
      <c r="AV149" s="1957"/>
      <c r="AW149" s="1957"/>
      <c r="AX149" s="1957"/>
      <c r="AY149" s="1957"/>
      <c r="AZ149" s="2111"/>
      <c r="BA149" s="2111"/>
      <c r="BB149" s="2111"/>
      <c r="BC149" s="2082"/>
      <c r="BD149" s="2082"/>
      <c r="BE149" s="2082"/>
      <c r="BF149" s="2082"/>
    </row>
    <row r="150" ht="12.75" hidden="1" customHeight="1">
      <c r="A150" s="1616"/>
      <c r="B150" s="1185"/>
      <c r="C150" s="1184"/>
      <c r="D150" s="1185"/>
      <c r="E150" s="1185"/>
      <c r="F150" s="1185"/>
      <c r="G150" s="1185"/>
      <c r="H150" s="1185"/>
      <c r="I150" s="1186"/>
      <c r="J150" s="1174"/>
      <c r="L150" s="263"/>
      <c r="M150" s="1610"/>
      <c r="O150" s="263"/>
      <c r="P150" s="1182"/>
      <c r="S150" s="263"/>
      <c r="T150" s="346">
        <v>1.0</v>
      </c>
      <c r="X150" s="263"/>
      <c r="Y150" s="346">
        <f t="shared" si="30"/>
        <v>0.96</v>
      </c>
      <c r="AB150" s="263"/>
      <c r="AC150" s="1170">
        <f t="shared" si="26"/>
        <v>0</v>
      </c>
      <c r="AF150" s="263"/>
      <c r="AG150" s="1171">
        <v>1.0</v>
      </c>
      <c r="AI150" s="263"/>
      <c r="AJ150" s="1170">
        <f t="shared" si="27"/>
        <v>0</v>
      </c>
      <c r="AM150" s="263"/>
      <c r="AN150" s="2076"/>
      <c r="AO150" s="1957"/>
      <c r="AP150" s="2104">
        <v>45.0</v>
      </c>
      <c r="AQ150" s="2129">
        <v>2.0</v>
      </c>
      <c r="AR150" s="2130">
        <f t="shared" si="31"/>
        <v>43</v>
      </c>
      <c r="AS150" s="2097">
        <f t="shared" si="29"/>
        <v>0.96</v>
      </c>
      <c r="AT150" s="1957"/>
      <c r="AU150" s="1957"/>
      <c r="AV150" s="1957"/>
      <c r="AW150" s="1957"/>
      <c r="AX150" s="1957"/>
      <c r="AY150" s="1957"/>
      <c r="AZ150" s="2111"/>
      <c r="BA150" s="2111"/>
      <c r="BB150" s="2111"/>
      <c r="BC150" s="2082"/>
      <c r="BD150" s="2082"/>
      <c r="BE150" s="2082"/>
      <c r="BF150" s="2082"/>
    </row>
    <row r="151" ht="12.75" hidden="1" customHeight="1">
      <c r="A151" s="1616"/>
      <c r="B151" s="1185"/>
      <c r="C151" s="1184"/>
      <c r="D151" s="1185"/>
      <c r="E151" s="1185"/>
      <c r="F151" s="1185"/>
      <c r="G151" s="1185"/>
      <c r="H151" s="1185"/>
      <c r="I151" s="1186"/>
      <c r="J151" s="1174"/>
      <c r="L151" s="263"/>
      <c r="M151" s="1610"/>
      <c r="O151" s="263"/>
      <c r="P151" s="1182"/>
      <c r="S151" s="263"/>
      <c r="T151" s="346">
        <v>1.0</v>
      </c>
      <c r="X151" s="263"/>
      <c r="Y151" s="346">
        <f t="shared" si="30"/>
        <v>0.7</v>
      </c>
      <c r="AB151" s="263"/>
      <c r="AC151" s="1170">
        <f t="shared" si="26"/>
        <v>0</v>
      </c>
      <c r="AF151" s="263"/>
      <c r="AG151" s="1171">
        <v>1.0</v>
      </c>
      <c r="AI151" s="263"/>
      <c r="AJ151" s="1170">
        <f t="shared" si="27"/>
        <v>0</v>
      </c>
      <c r="AM151" s="263"/>
      <c r="AN151" s="2076"/>
      <c r="AO151" s="1957"/>
      <c r="AP151" s="2104">
        <v>45.0</v>
      </c>
      <c r="AQ151" s="2129">
        <v>15.0</v>
      </c>
      <c r="AR151" s="2130">
        <f t="shared" si="31"/>
        <v>30</v>
      </c>
      <c r="AS151" s="2097">
        <f t="shared" si="29"/>
        <v>0.7</v>
      </c>
      <c r="AT151" s="1957"/>
      <c r="AU151" s="1957"/>
      <c r="AV151" s="1957"/>
      <c r="AW151" s="1957"/>
      <c r="AX151" s="1957"/>
      <c r="AY151" s="1957"/>
      <c r="AZ151" s="2111"/>
      <c r="BA151" s="2111"/>
      <c r="BB151" s="2111"/>
      <c r="BC151" s="2082"/>
      <c r="BD151" s="2082"/>
      <c r="BE151" s="2082"/>
      <c r="BF151" s="2082"/>
    </row>
    <row r="152" ht="12.75" hidden="1" customHeight="1">
      <c r="A152" s="1614"/>
      <c r="B152" s="1351"/>
      <c r="C152" s="1184"/>
      <c r="D152" s="1351"/>
      <c r="E152" s="1351"/>
      <c r="F152" s="1351"/>
      <c r="G152" s="1351"/>
      <c r="H152" s="1351"/>
      <c r="I152" s="1615"/>
      <c r="J152" s="1174"/>
      <c r="L152" s="263"/>
      <c r="M152" s="1610"/>
      <c r="O152" s="263"/>
      <c r="P152" s="1182"/>
      <c r="S152" s="263"/>
      <c r="T152" s="346">
        <v>1.0</v>
      </c>
      <c r="X152" s="263"/>
      <c r="Y152" s="346">
        <f t="shared" si="30"/>
        <v>0.88</v>
      </c>
      <c r="AB152" s="263"/>
      <c r="AC152" s="1170">
        <f t="shared" si="26"/>
        <v>0</v>
      </c>
      <c r="AF152" s="263"/>
      <c r="AG152" s="1171">
        <v>1.0</v>
      </c>
      <c r="AI152" s="263"/>
      <c r="AJ152" s="1170">
        <f t="shared" si="27"/>
        <v>0</v>
      </c>
      <c r="AM152" s="263"/>
      <c r="AN152" s="2076"/>
      <c r="AO152" s="1957"/>
      <c r="AP152" s="2104">
        <v>15.0</v>
      </c>
      <c r="AQ152" s="2129">
        <v>2.0</v>
      </c>
      <c r="AR152" s="2130">
        <f t="shared" si="31"/>
        <v>13</v>
      </c>
      <c r="AS152" s="2097">
        <f t="shared" si="29"/>
        <v>0.88</v>
      </c>
      <c r="AT152" s="1957"/>
      <c r="AU152" s="1957"/>
      <c r="AV152" s="1957"/>
      <c r="AW152" s="1957"/>
      <c r="AX152" s="1957"/>
      <c r="AY152" s="1957"/>
      <c r="AZ152" s="2111"/>
      <c r="BA152" s="2111"/>
      <c r="BB152" s="2111"/>
      <c r="BC152" s="2082"/>
      <c r="BD152" s="2082"/>
      <c r="BE152" s="2082"/>
      <c r="BF152" s="2082"/>
    </row>
    <row r="153" ht="12.75" hidden="1" customHeight="1">
      <c r="A153" s="1614"/>
      <c r="B153" s="1351"/>
      <c r="C153" s="1184"/>
      <c r="D153" s="1351"/>
      <c r="E153" s="1351"/>
      <c r="F153" s="1351"/>
      <c r="G153" s="1351"/>
      <c r="H153" s="1351"/>
      <c r="I153" s="1615"/>
      <c r="J153" s="1174"/>
      <c r="L153" s="263"/>
      <c r="M153" s="1610"/>
      <c r="O153" s="263"/>
      <c r="P153" s="1182"/>
      <c r="S153" s="263"/>
      <c r="T153" s="346">
        <v>1.0</v>
      </c>
      <c r="X153" s="263"/>
      <c r="Y153" s="346">
        <f t="shared" si="30"/>
        <v>0.88</v>
      </c>
      <c r="AB153" s="263"/>
      <c r="AC153" s="1170">
        <f t="shared" si="26"/>
        <v>0</v>
      </c>
      <c r="AF153" s="263"/>
      <c r="AG153" s="1171">
        <v>1.0</v>
      </c>
      <c r="AI153" s="263"/>
      <c r="AJ153" s="1170">
        <f t="shared" si="27"/>
        <v>0</v>
      </c>
      <c r="AM153" s="263"/>
      <c r="AN153" s="2076"/>
      <c r="AO153" s="1957"/>
      <c r="AP153" s="2104">
        <v>15.0</v>
      </c>
      <c r="AQ153" s="2129">
        <v>2.0</v>
      </c>
      <c r="AR153" s="2130">
        <f t="shared" si="31"/>
        <v>13</v>
      </c>
      <c r="AS153" s="2097">
        <f t="shared" si="29"/>
        <v>0.88</v>
      </c>
      <c r="AT153" s="1957"/>
      <c r="AU153" s="1957"/>
      <c r="AV153" s="1957"/>
      <c r="AW153" s="1957"/>
      <c r="AX153" s="1957"/>
      <c r="AY153" s="1957"/>
      <c r="AZ153" s="2111"/>
      <c r="BA153" s="2111"/>
      <c r="BB153" s="2111"/>
      <c r="BC153" s="2082"/>
      <c r="BD153" s="2082"/>
      <c r="BE153" s="2082"/>
      <c r="BF153" s="2082"/>
    </row>
    <row r="154" ht="12.75" hidden="1" customHeight="1">
      <c r="A154" s="1614"/>
      <c r="B154" s="1351"/>
      <c r="C154" s="1184"/>
      <c r="D154" s="1351"/>
      <c r="E154" s="1351"/>
      <c r="F154" s="1351"/>
      <c r="G154" s="1351"/>
      <c r="H154" s="1351"/>
      <c r="I154" s="1615"/>
      <c r="J154" s="1174"/>
      <c r="L154" s="263"/>
      <c r="M154" s="1610"/>
      <c r="O154" s="263"/>
      <c r="P154" s="1182"/>
      <c r="S154" s="263"/>
      <c r="T154" s="346">
        <v>1.0</v>
      </c>
      <c r="X154" s="263"/>
      <c r="Y154" s="346">
        <f t="shared" si="30"/>
        <v>0.88</v>
      </c>
      <c r="AB154" s="263"/>
      <c r="AC154" s="1170">
        <f t="shared" si="26"/>
        <v>0</v>
      </c>
      <c r="AF154" s="263"/>
      <c r="AG154" s="1171">
        <v>1.0</v>
      </c>
      <c r="AI154" s="263"/>
      <c r="AJ154" s="1170">
        <f t="shared" si="27"/>
        <v>0</v>
      </c>
      <c r="AM154" s="263"/>
      <c r="AN154" s="2076"/>
      <c r="AO154" s="1957"/>
      <c r="AP154" s="2104">
        <v>15.0</v>
      </c>
      <c r="AQ154" s="2129">
        <v>2.0</v>
      </c>
      <c r="AR154" s="2130">
        <f t="shared" si="31"/>
        <v>13</v>
      </c>
      <c r="AS154" s="2097">
        <f t="shared" si="29"/>
        <v>0.88</v>
      </c>
      <c r="AT154" s="1957"/>
      <c r="AU154" s="1957"/>
      <c r="AV154" s="1957"/>
      <c r="AW154" s="1957"/>
      <c r="AX154" s="1957"/>
      <c r="AY154" s="1957"/>
      <c r="AZ154" s="2111"/>
      <c r="BA154" s="2111"/>
      <c r="BB154" s="2111"/>
      <c r="BC154" s="2082"/>
      <c r="BD154" s="2082"/>
      <c r="BE154" s="2082"/>
      <c r="BF154" s="2082"/>
    </row>
    <row r="155" ht="12.75" hidden="1" customHeight="1">
      <c r="A155" s="1614"/>
      <c r="B155" s="1351"/>
      <c r="C155" s="1184"/>
      <c r="D155" s="1351"/>
      <c r="E155" s="1351"/>
      <c r="F155" s="1351"/>
      <c r="G155" s="1351"/>
      <c r="H155" s="1351"/>
      <c r="I155" s="1615"/>
      <c r="J155" s="1174"/>
      <c r="L155" s="263"/>
      <c r="M155" s="1610"/>
      <c r="O155" s="263"/>
      <c r="P155" s="1182"/>
      <c r="S155" s="263"/>
      <c r="T155" s="346">
        <v>1.0</v>
      </c>
      <c r="X155" s="263"/>
      <c r="Y155" s="346">
        <f t="shared" si="30"/>
        <v>0.64</v>
      </c>
      <c r="AB155" s="263"/>
      <c r="AC155" s="1170">
        <f t="shared" si="26"/>
        <v>0</v>
      </c>
      <c r="AF155" s="263"/>
      <c r="AG155" s="1171">
        <v>1.0</v>
      </c>
      <c r="AI155" s="263"/>
      <c r="AJ155" s="1170">
        <f t="shared" si="27"/>
        <v>0</v>
      </c>
      <c r="AM155" s="263"/>
      <c r="AN155" s="2076"/>
      <c r="AO155" s="1957"/>
      <c r="AP155" s="2104">
        <v>10.0</v>
      </c>
      <c r="AQ155" s="2129">
        <v>4.0</v>
      </c>
      <c r="AR155" s="2130">
        <f t="shared" si="31"/>
        <v>6</v>
      </c>
      <c r="AS155" s="2097">
        <f t="shared" si="29"/>
        <v>0.64</v>
      </c>
      <c r="AT155" s="1957"/>
      <c r="AU155" s="1957"/>
      <c r="AV155" s="1957"/>
      <c r="AW155" s="1957"/>
      <c r="AX155" s="1957"/>
      <c r="AY155" s="1957"/>
      <c r="AZ155" s="2111"/>
      <c r="BA155" s="2111"/>
      <c r="BB155" s="2111"/>
      <c r="BC155" s="2082"/>
      <c r="BD155" s="2082"/>
      <c r="BE155" s="2082"/>
      <c r="BF155" s="2082"/>
    </row>
    <row r="156" ht="12.75" hidden="1" customHeight="1">
      <c r="A156" s="1617"/>
      <c r="B156" s="1618"/>
      <c r="C156" s="1188"/>
      <c r="D156" s="1618"/>
      <c r="E156" s="1618"/>
      <c r="F156" s="1618"/>
      <c r="G156" s="1618"/>
      <c r="H156" s="1618"/>
      <c r="I156" s="1619"/>
      <c r="J156" s="1525"/>
      <c r="K156" s="251"/>
      <c r="L156" s="261"/>
      <c r="M156" s="1523"/>
      <c r="N156" s="251"/>
      <c r="O156" s="261"/>
      <c r="P156" s="1620"/>
      <c r="Q156" s="251"/>
      <c r="R156" s="251"/>
      <c r="S156" s="261"/>
      <c r="T156" s="1621">
        <v>1.0</v>
      </c>
      <c r="U156" s="251"/>
      <c r="V156" s="251"/>
      <c r="W156" s="251"/>
      <c r="X156" s="261"/>
      <c r="Y156" s="1621"/>
      <c r="Z156" s="251"/>
      <c r="AA156" s="251"/>
      <c r="AB156" s="261"/>
      <c r="AC156" s="1170"/>
      <c r="AF156" s="263"/>
      <c r="AG156" s="1171"/>
      <c r="AI156" s="263"/>
      <c r="AJ156" s="1170">
        <f t="shared" si="27"/>
        <v>0</v>
      </c>
      <c r="AM156" s="263"/>
      <c r="AN156" s="2076"/>
      <c r="AO156" s="1957"/>
      <c r="AP156" s="2108">
        <v>45.0</v>
      </c>
      <c r="AQ156" s="2131">
        <v>0.0</v>
      </c>
      <c r="AR156" s="2132">
        <f t="shared" si="31"/>
        <v>45</v>
      </c>
      <c r="AS156" s="2102">
        <f t="shared" si="29"/>
        <v>1</v>
      </c>
      <c r="AT156" s="1957"/>
      <c r="AU156" s="1957"/>
      <c r="AV156" s="1957"/>
      <c r="AW156" s="1957"/>
      <c r="AX156" s="1957"/>
      <c r="AY156" s="1957"/>
      <c r="AZ156" s="2111"/>
      <c r="BA156" s="2111"/>
      <c r="BB156" s="2111"/>
      <c r="BC156" s="2082"/>
      <c r="BD156" s="2082"/>
      <c r="BE156" s="2082"/>
      <c r="BF156" s="2082"/>
    </row>
    <row r="157">
      <c r="A157" s="1625"/>
      <c r="B157" s="1625"/>
      <c r="C157" s="1043"/>
      <c r="D157" s="1189"/>
      <c r="E157" s="707"/>
      <c r="F157" s="707"/>
      <c r="G157" s="707"/>
      <c r="H157" s="707"/>
      <c r="I157" s="707"/>
      <c r="J157" s="707"/>
      <c r="K157" s="707"/>
      <c r="L157" s="707"/>
      <c r="M157" s="707"/>
      <c r="N157" s="1190"/>
      <c r="O157" s="1190"/>
      <c r="P157" s="707"/>
      <c r="Q157" s="707"/>
      <c r="R157" s="707"/>
      <c r="S157" s="707"/>
      <c r="T157" s="707"/>
      <c r="U157" s="707"/>
      <c r="V157" s="707"/>
      <c r="W157" s="707"/>
      <c r="X157" s="707"/>
      <c r="Y157" s="707"/>
      <c r="Z157" s="707"/>
      <c r="AA157" s="707"/>
      <c r="AB157" s="707"/>
      <c r="AC157" s="1191"/>
      <c r="AD157" s="1191"/>
      <c r="AE157" s="1191"/>
      <c r="AF157" s="1191"/>
      <c r="AG157" s="1191"/>
      <c r="AH157" s="1192" t="s">
        <v>201</v>
      </c>
      <c r="AI157" s="1627"/>
      <c r="AJ157" s="1193">
        <f>SUM(AJ140:AM156)</f>
        <v>0</v>
      </c>
      <c r="AK157" s="85"/>
      <c r="AL157" s="85"/>
      <c r="AM157" s="86"/>
      <c r="AN157" s="2070" t="str">
        <f>AJ157/$AJ$159</f>
        <v>#DIV/0!</v>
      </c>
      <c r="AO157" s="1957"/>
      <c r="AP157" s="1957"/>
      <c r="AQ157" s="1957"/>
      <c r="AR157" s="1957"/>
      <c r="AS157" s="1957"/>
      <c r="AT157" s="1957"/>
      <c r="AU157" s="1957"/>
      <c r="AV157" s="2133"/>
      <c r="AW157" s="2133"/>
      <c r="AX157" s="2134">
        <f>'OPI Rentas'!AG108*'OPI Rentas'!C108</f>
        <v>0</v>
      </c>
      <c r="AY157" s="483"/>
      <c r="AZ157" s="2133" t="s">
        <v>654</v>
      </c>
      <c r="BA157" s="1957"/>
      <c r="BB157" s="1957"/>
      <c r="BC157" s="2082"/>
      <c r="BD157" s="2082"/>
      <c r="BE157" s="2082"/>
      <c r="BF157" s="2082"/>
    </row>
    <row r="158" ht="3.0" customHeight="1">
      <c r="A158" s="2135"/>
      <c r="B158" s="2135"/>
      <c r="C158" s="2135"/>
      <c r="D158" s="2135"/>
      <c r="E158" s="720"/>
      <c r="F158" s="720"/>
      <c r="G158" s="720"/>
      <c r="H158" s="720"/>
      <c r="I158" s="720"/>
      <c r="J158" s="720"/>
      <c r="K158" s="720"/>
      <c r="L158" s="720"/>
      <c r="M158" s="720"/>
      <c r="N158" s="720"/>
      <c r="O158" s="720"/>
      <c r="P158" s="720"/>
      <c r="Q158" s="720"/>
      <c r="R158" s="1043"/>
      <c r="S158" s="1043"/>
      <c r="T158" s="1043"/>
      <c r="U158" s="1043"/>
      <c r="V158" s="1043"/>
      <c r="W158" s="1043"/>
      <c r="X158" s="1043"/>
      <c r="Y158" s="1043"/>
      <c r="Z158" s="1043"/>
      <c r="AA158" s="720"/>
      <c r="AB158" s="720"/>
      <c r="AC158" s="720"/>
      <c r="AD158" s="720"/>
      <c r="AE158" s="720"/>
      <c r="AF158" s="1129"/>
      <c r="AG158" s="720"/>
      <c r="AH158" s="720"/>
      <c r="AI158" s="720"/>
      <c r="AJ158" s="1043"/>
      <c r="AK158" s="1043"/>
      <c r="AL158" s="1043"/>
      <c r="AM158" s="720"/>
      <c r="AN158" s="1957"/>
      <c r="AO158" s="1957"/>
      <c r="AP158" s="1957"/>
      <c r="AQ158" s="1957"/>
      <c r="AR158" s="1957"/>
      <c r="AS158" s="1957"/>
      <c r="AT158" s="1957"/>
      <c r="AU158" s="1957"/>
      <c r="AV158" s="1957"/>
      <c r="AW158" s="1957"/>
      <c r="AX158" s="1957"/>
      <c r="AY158" s="1957"/>
      <c r="AZ158" s="1957"/>
      <c r="BA158" s="1957"/>
      <c r="BB158" s="1957"/>
      <c r="BC158" s="2082"/>
      <c r="BD158" s="2082"/>
      <c r="BE158" s="2082"/>
      <c r="BF158" s="2082"/>
    </row>
    <row r="159" ht="18.0" customHeight="1">
      <c r="A159" s="439" t="s">
        <v>202</v>
      </c>
      <c r="B159" s="440"/>
      <c r="C159" s="440"/>
      <c r="D159" s="440"/>
      <c r="E159" s="440"/>
      <c r="F159" s="440"/>
      <c r="G159" s="440"/>
      <c r="H159" s="440"/>
      <c r="I159" s="440"/>
      <c r="J159" s="440"/>
      <c r="L159" s="2136"/>
      <c r="X159" s="263"/>
      <c r="Y159" s="442"/>
      <c r="Z159" s="387"/>
      <c r="AA159" s="1496" t="s">
        <v>203</v>
      </c>
      <c r="AB159" s="85"/>
      <c r="AC159" s="85"/>
      <c r="AD159" s="85"/>
      <c r="AE159" s="85"/>
      <c r="AF159" s="85"/>
      <c r="AG159" s="85"/>
      <c r="AH159" s="85"/>
      <c r="AI159" s="86"/>
      <c r="AJ159" s="1195">
        <f>SUM(AJ111,AJ135,AJ123,AJ157)</f>
        <v>0</v>
      </c>
      <c r="AK159" s="85"/>
      <c r="AL159" s="85"/>
      <c r="AM159" s="86"/>
      <c r="AN159" s="1957"/>
      <c r="AO159" s="1957"/>
      <c r="AP159" s="2137" t="str">
        <f>AJ162/K123</f>
        <v>#DIV/0!</v>
      </c>
      <c r="AQ159" s="2138" t="s">
        <v>204</v>
      </c>
      <c r="AR159" s="2139"/>
      <c r="AS159" s="1957"/>
      <c r="AT159" s="1957"/>
      <c r="AU159" s="1957"/>
      <c r="AV159" s="1957"/>
      <c r="AW159" s="1957"/>
      <c r="AX159" s="1957"/>
      <c r="AY159" s="1957"/>
      <c r="AZ159" s="1957"/>
      <c r="BA159" s="1957"/>
      <c r="BB159" s="1957"/>
      <c r="BC159" s="2082"/>
      <c r="BD159" s="2082"/>
      <c r="BE159" s="2082"/>
      <c r="BF159" s="2082"/>
    </row>
    <row r="160" ht="12.0" customHeight="1">
      <c r="A160" s="439" t="s">
        <v>205</v>
      </c>
      <c r="T160" s="34"/>
      <c r="U160" s="34"/>
      <c r="V160" s="34"/>
      <c r="W160" s="34"/>
      <c r="X160" s="34"/>
      <c r="Y160" s="34"/>
      <c r="Z160" s="448"/>
      <c r="AA160" s="448"/>
      <c r="AB160" s="448"/>
      <c r="AC160" s="448"/>
      <c r="AD160" s="448"/>
      <c r="AE160" s="448"/>
      <c r="AF160" s="448"/>
      <c r="AG160" s="448"/>
      <c r="AH160" s="448"/>
      <c r="AI160" s="34"/>
      <c r="AJ160" s="34"/>
      <c r="AK160" s="34"/>
      <c r="AL160" s="34"/>
      <c r="AM160" s="34"/>
      <c r="AN160" s="1957"/>
      <c r="AO160" s="1957"/>
      <c r="AP160" s="1471"/>
      <c r="AQ160" s="1963"/>
      <c r="AR160" s="1957"/>
      <c r="AS160" s="1471"/>
      <c r="AT160" s="1471"/>
      <c r="AU160" s="1471"/>
      <c r="AV160" s="1957"/>
      <c r="AW160" s="1957"/>
      <c r="AX160" s="1957"/>
      <c r="AY160" s="1957"/>
      <c r="AZ160" s="1957"/>
      <c r="BA160" s="1957"/>
      <c r="BB160" s="1957"/>
      <c r="BC160" s="2082"/>
      <c r="BD160" s="2082"/>
      <c r="BE160" s="2082"/>
      <c r="BF160" s="2082"/>
    </row>
    <row r="161" ht="18.0" customHeight="1">
      <c r="A161" s="449" t="s">
        <v>206</v>
      </c>
      <c r="G161" s="2140"/>
      <c r="P161" s="263"/>
      <c r="Q161" s="451" t="s">
        <v>207</v>
      </c>
      <c r="R161" s="452"/>
      <c r="S161" s="452"/>
      <c r="T161" s="452"/>
      <c r="U161" s="452"/>
      <c r="V161" s="452"/>
      <c r="W161" s="453"/>
      <c r="X161" s="453"/>
      <c r="Y161" s="396"/>
      <c r="Z161" s="396"/>
      <c r="AA161" s="707"/>
      <c r="AB161" s="707"/>
      <c r="AC161" s="707"/>
      <c r="AD161" s="707"/>
      <c r="AE161" s="707"/>
      <c r="AF161" s="2141"/>
      <c r="AG161" s="707"/>
      <c r="AH161" s="707"/>
      <c r="AI161" s="2142" t="s">
        <v>208</v>
      </c>
      <c r="AJ161" s="2143" t="str">
        <f>'OPI Rentas'!AJ217</f>
        <v>#DIV/0!</v>
      </c>
      <c r="AK161" s="294"/>
      <c r="AL161" s="294"/>
      <c r="AM161" s="458"/>
      <c r="AN161" s="1957"/>
      <c r="AO161" s="1957"/>
      <c r="AP161" s="2144" t="str">
        <f>+(AJ161-AJ162)/AJ161</f>
        <v>#DIV/0!</v>
      </c>
      <c r="AQ161" s="2145" t="s">
        <v>209</v>
      </c>
      <c r="AR161" s="1957"/>
      <c r="AS161" s="2139"/>
      <c r="AT161" s="2139"/>
      <c r="AU161" s="1471"/>
      <c r="AV161" s="1957"/>
      <c r="AW161" s="1957"/>
      <c r="AX161" s="1957"/>
      <c r="AY161" s="1957"/>
      <c r="AZ161" s="1957"/>
      <c r="BA161" s="1957"/>
      <c r="BB161" s="1957"/>
      <c r="BC161" s="2082"/>
      <c r="BD161" s="2082"/>
      <c r="BE161" s="2082"/>
      <c r="BF161" s="2082"/>
    </row>
    <row r="162" ht="18.75" customHeight="1">
      <c r="A162" s="462" t="s">
        <v>210</v>
      </c>
      <c r="G162" s="2146" t="s">
        <v>736</v>
      </c>
      <c r="P162" s="263"/>
      <c r="Q162" s="463"/>
      <c r="R162" s="464"/>
      <c r="S162" s="464"/>
      <c r="T162" s="464"/>
      <c r="U162" s="464"/>
      <c r="V162" s="464"/>
      <c r="W162" s="464"/>
      <c r="X162" s="464"/>
      <c r="Y162" s="34"/>
      <c r="Z162" s="34"/>
      <c r="AA162" s="720"/>
      <c r="AB162" s="720"/>
      <c r="AC162" s="720"/>
      <c r="AD162" s="720"/>
      <c r="AE162" s="720"/>
      <c r="AF162" s="1129"/>
      <c r="AG162" s="720"/>
      <c r="AH162" s="720"/>
      <c r="AI162" s="2147" t="s">
        <v>211</v>
      </c>
      <c r="AJ162" s="2148">
        <f>AJ159</f>
        <v>0</v>
      </c>
      <c r="AK162" s="467"/>
      <c r="AL162" s="467"/>
      <c r="AM162" s="468"/>
      <c r="AN162" s="1957"/>
      <c r="AO162" s="1957"/>
      <c r="AP162" s="2149" t="str">
        <f>AI165/K123</f>
        <v>#DIV/0!</v>
      </c>
      <c r="AQ162" s="1963"/>
      <c r="AR162" s="1471"/>
      <c r="AS162" s="1957"/>
      <c r="AT162" s="1957"/>
      <c r="AU162" s="1957"/>
      <c r="AV162" s="1957"/>
      <c r="AW162" s="1957"/>
      <c r="AX162" s="1957"/>
      <c r="AY162" s="1957"/>
      <c r="AZ162" s="1957"/>
      <c r="BA162" s="1957"/>
      <c r="BB162" s="1957"/>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9"/>
      <c r="AG163" s="720"/>
      <c r="AH163" s="720"/>
      <c r="AI163" s="2150"/>
      <c r="AJ163" s="2151"/>
      <c r="AK163" s="473"/>
      <c r="AL163" s="473"/>
      <c r="AM163" s="474"/>
      <c r="AN163" s="1957"/>
      <c r="AO163" s="1957"/>
      <c r="AP163" s="1957"/>
      <c r="AQ163" s="2152" t="s">
        <v>213</v>
      </c>
      <c r="AR163" s="1471"/>
      <c r="AS163" s="1957"/>
      <c r="AT163" s="1957"/>
      <c r="AU163" s="1957"/>
      <c r="AV163" s="1957"/>
      <c r="AW163" s="1957"/>
      <c r="AX163" s="1957"/>
      <c r="AY163" s="1957"/>
      <c r="AZ163" s="1957"/>
      <c r="BA163" s="1957"/>
      <c r="BB163" s="1957"/>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7"/>
      <c r="AO164" s="1957"/>
      <c r="AP164" s="1957"/>
      <c r="AQ164" s="1957"/>
      <c r="AR164" s="1957"/>
      <c r="AS164" s="1471"/>
      <c r="AT164" s="1471"/>
      <c r="AU164" s="1957"/>
      <c r="AV164" s="1957"/>
      <c r="AW164" s="1957"/>
      <c r="AX164" s="1957"/>
      <c r="AY164" s="1957"/>
      <c r="AZ164" s="1957"/>
      <c r="BA164" s="1957"/>
      <c r="BB164" s="1957"/>
    </row>
    <row r="165">
      <c r="A165" s="2153" t="s">
        <v>737</v>
      </c>
      <c r="Q165" s="470"/>
      <c r="R165" s="479"/>
      <c r="T165" s="464"/>
      <c r="U165" s="464"/>
      <c r="V165" s="464"/>
      <c r="W165" s="464"/>
      <c r="X165" s="34"/>
      <c r="Y165" s="34"/>
      <c r="Z165" s="34"/>
      <c r="AA165" s="34"/>
      <c r="AB165" s="34"/>
      <c r="AC165" s="34"/>
      <c r="AD165" s="34"/>
      <c r="AE165" s="34"/>
      <c r="AF165" s="305"/>
      <c r="AG165" s="34"/>
      <c r="AH165" s="480" t="s">
        <v>215</v>
      </c>
      <c r="AI165" s="481" t="str">
        <f>ROUND(AJ161,-3)</f>
        <v>#DIV/0!</v>
      </c>
      <c r="AJ165" s="482"/>
      <c r="AK165" s="482"/>
      <c r="AL165" s="482"/>
      <c r="AM165" s="1759"/>
      <c r="AN165" s="1957"/>
      <c r="AO165" s="1957"/>
      <c r="AP165" s="1957"/>
      <c r="AQ165" s="1957"/>
      <c r="AR165" s="1957"/>
      <c r="AS165" s="1471"/>
      <c r="AT165" s="1471"/>
      <c r="AU165" s="1957"/>
      <c r="AV165" s="1957"/>
      <c r="AW165" s="1957"/>
      <c r="AX165" s="1957"/>
      <c r="AY165" s="1957"/>
      <c r="AZ165" s="1957"/>
      <c r="BA165" s="1957"/>
      <c r="BB165" s="1957"/>
    </row>
    <row r="166">
      <c r="Q166" s="470"/>
      <c r="R166" s="479"/>
      <c r="S166" s="479"/>
      <c r="T166" s="464"/>
      <c r="U166" s="464"/>
      <c r="V166" s="464"/>
      <c r="W166" s="464"/>
      <c r="X166" s="34"/>
      <c r="Y166" s="34"/>
      <c r="Z166" s="34"/>
      <c r="AA166" s="34"/>
      <c r="AB166" s="34"/>
      <c r="AC166" s="34"/>
      <c r="AD166" s="34"/>
      <c r="AE166" s="34"/>
      <c r="AF166" s="305"/>
      <c r="AG166" s="34"/>
      <c r="AH166" s="480" t="s">
        <v>699</v>
      </c>
      <c r="AI166" s="481" t="str">
        <f>AI165*AP166</f>
        <v>#DIV/0!</v>
      </c>
      <c r="AJ166" s="482"/>
      <c r="AK166" s="482"/>
      <c r="AL166" s="482"/>
      <c r="AM166" s="1759"/>
      <c r="AN166" s="1957"/>
      <c r="AO166" s="1957"/>
      <c r="AP166" s="2154">
        <v>0.004</v>
      </c>
      <c r="AQ166" s="2138" t="s">
        <v>217</v>
      </c>
      <c r="AR166" s="1963"/>
      <c r="AS166" s="1963"/>
      <c r="AT166" s="1963"/>
      <c r="AU166" s="1957"/>
      <c r="AV166" s="1957"/>
      <c r="AW166" s="1957"/>
      <c r="AX166" s="1957"/>
      <c r="AY166" s="1957"/>
      <c r="AZ166" s="1957"/>
      <c r="BA166" s="1957"/>
      <c r="BB166" s="1957"/>
    </row>
    <row r="167" ht="12.75" customHeight="1">
      <c r="Q167" s="2155" t="str">
        <f>AP417</f>
        <v>#DIV/0!</v>
      </c>
      <c r="AM167" s="263"/>
      <c r="AN167" s="1957"/>
      <c r="AO167" s="1957"/>
      <c r="AP167" s="1957"/>
      <c r="AQ167" s="1957"/>
      <c r="AR167" s="2156"/>
      <c r="AS167" s="2156"/>
      <c r="AT167" s="1471"/>
      <c r="AU167" s="1957"/>
      <c r="AV167" s="1957"/>
      <c r="AW167" s="1957"/>
      <c r="AX167" s="1957"/>
      <c r="AY167" s="1957"/>
      <c r="AZ167" s="1957"/>
      <c r="BA167" s="1957"/>
      <c r="BB167" s="1957"/>
    </row>
    <row r="168" ht="11.25" customHeight="1">
      <c r="Q168" s="2157" t="s">
        <v>219</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7"/>
      <c r="AO168" s="1957"/>
      <c r="AP168" s="1957"/>
      <c r="AQ168" s="1957"/>
      <c r="AR168" s="1963"/>
      <c r="AS168" s="1963"/>
      <c r="AT168" s="1988"/>
      <c r="AU168" s="1957"/>
      <c r="AV168" s="1957"/>
      <c r="AW168" s="1957"/>
      <c r="AX168" s="1957"/>
      <c r="AY168" s="1957"/>
      <c r="AZ168" s="1957"/>
      <c r="BA168" s="1957"/>
      <c r="BB168" s="1957"/>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3"/>
      <c r="AN169" s="1957"/>
      <c r="AO169" s="1957"/>
      <c r="AP169" s="1957"/>
      <c r="AQ169" s="1957"/>
      <c r="AR169" s="2158"/>
      <c r="AS169" s="2158"/>
      <c r="AT169" s="1471"/>
      <c r="AU169" s="1957"/>
      <c r="AV169" s="1957"/>
      <c r="AW169" s="1957"/>
      <c r="AX169" s="1957"/>
      <c r="AY169" s="1957"/>
      <c r="AZ169" s="1957"/>
      <c r="BA169" s="1957"/>
      <c r="BB169" s="1957"/>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220</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7"/>
      <c r="AO170" s="1957"/>
      <c r="AP170" s="2159"/>
      <c r="AQ170" s="2160"/>
      <c r="AR170" s="1963"/>
      <c r="AS170" s="1963"/>
      <c r="AT170" s="1963"/>
      <c r="AU170" s="1957"/>
      <c r="AV170" s="1957"/>
      <c r="AW170" s="1957"/>
      <c r="AX170" s="1957"/>
      <c r="AY170" s="1957"/>
      <c r="AZ170" s="1957"/>
      <c r="BA170" s="1957"/>
      <c r="BB170" s="1957"/>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222</v>
      </c>
      <c r="P171" s="493"/>
      <c r="R171" s="493"/>
      <c r="S171" s="493"/>
      <c r="T171" s="493"/>
      <c r="U171" s="493"/>
      <c r="V171" s="90" t="s">
        <v>223</v>
      </c>
      <c r="Y171" s="493"/>
      <c r="Z171" s="493"/>
      <c r="AA171" s="34"/>
      <c r="AB171" s="34"/>
      <c r="AC171" s="34"/>
      <c r="AD171" s="34"/>
      <c r="AI171" s="34"/>
      <c r="AJ171" s="34"/>
      <c r="AK171" s="491"/>
      <c r="AL171" s="491"/>
      <c r="AM171" s="491"/>
      <c r="AN171" s="1957"/>
      <c r="AO171" s="1957"/>
      <c r="AP171" s="2159"/>
      <c r="AQ171" s="2160"/>
      <c r="AR171" s="1963"/>
      <c r="AS171" s="1963"/>
      <c r="AT171" s="1963"/>
      <c r="AU171" s="1957"/>
      <c r="AV171" s="1957"/>
      <c r="AW171" s="1957"/>
      <c r="AX171" s="1957"/>
      <c r="AY171" s="1957"/>
      <c r="AZ171" s="1957"/>
      <c r="BA171" s="1957"/>
      <c r="BB171" s="1957"/>
      <c r="BL171" s="34"/>
      <c r="BM171" s="34"/>
      <c r="BN171" s="34"/>
      <c r="BO171" s="34"/>
      <c r="BP171" s="34"/>
      <c r="BQ171" s="34"/>
      <c r="BR171" s="34"/>
    </row>
    <row r="172">
      <c r="A172" s="2161"/>
      <c r="B172" s="2161"/>
      <c r="C172" s="2161"/>
      <c r="D172" s="2161"/>
      <c r="E172" s="2161"/>
      <c r="F172" s="2161"/>
      <c r="G172" s="2161"/>
      <c r="H172" s="2161"/>
      <c r="I172" s="2161"/>
      <c r="J172" s="2161"/>
      <c r="K172" s="2161"/>
      <c r="L172" s="2161"/>
      <c r="M172" s="2161"/>
      <c r="N172" s="2161"/>
      <c r="O172" s="2161"/>
      <c r="P172" s="2161"/>
      <c r="Q172" s="2161"/>
      <c r="R172" s="2161"/>
      <c r="S172" s="2161"/>
      <c r="T172" s="2161"/>
      <c r="U172" s="2161"/>
      <c r="V172" s="2161"/>
      <c r="W172" s="2161"/>
      <c r="X172" s="2161"/>
      <c r="Y172" s="2161"/>
      <c r="Z172" s="2161"/>
      <c r="AA172" s="2161"/>
      <c r="AB172" s="2161"/>
      <c r="AC172" s="2161"/>
      <c r="AD172" s="2161"/>
      <c r="AE172" s="2161"/>
      <c r="AF172" s="2161"/>
      <c r="AG172" s="2161"/>
      <c r="AH172" s="2161"/>
      <c r="AI172" s="2161"/>
      <c r="AJ172" s="2161"/>
      <c r="AK172" s="2161"/>
      <c r="AL172" s="2161"/>
      <c r="AM172" s="2161"/>
      <c r="AN172" s="1957"/>
      <c r="AO172" s="1957"/>
      <c r="AP172" s="2162"/>
      <c r="AQ172" s="1957"/>
      <c r="AR172" s="2163"/>
      <c r="AS172" s="1957"/>
      <c r="AT172" s="1957"/>
      <c r="AU172" s="1957"/>
      <c r="AV172" s="1957"/>
      <c r="AW172" s="1957"/>
      <c r="AX172" s="1957"/>
      <c r="AY172" s="1957"/>
      <c r="AZ172" s="1957"/>
      <c r="BA172" s="1957"/>
      <c r="BB172" s="1957"/>
    </row>
    <row r="173" ht="12.75" customHeight="1">
      <c r="A173" s="126" t="s">
        <v>224</v>
      </c>
      <c r="AN173" s="1957"/>
      <c r="AO173" s="1957"/>
      <c r="AP173" s="2162"/>
      <c r="AQ173" s="1957"/>
      <c r="AR173" s="2163"/>
      <c r="AS173" s="1957"/>
      <c r="AT173" s="1957"/>
      <c r="AU173" s="1957"/>
      <c r="AV173" s="1957"/>
      <c r="AW173" s="1957"/>
      <c r="AX173" s="1957"/>
      <c r="AY173" s="1957"/>
      <c r="AZ173" s="1957"/>
      <c r="BA173" s="1957"/>
      <c r="BB173" s="1957"/>
    </row>
    <row r="174" ht="10.5" customHeight="1">
      <c r="A174" s="1207" t="s">
        <v>225</v>
      </c>
      <c r="AN174" s="1957"/>
      <c r="AO174" s="1957"/>
      <c r="AP174" s="1957"/>
      <c r="AQ174" s="1957"/>
      <c r="AR174" s="1957"/>
      <c r="AS174" s="1957"/>
      <c r="AT174" s="1957"/>
      <c r="AU174" s="1957"/>
      <c r="AV174" s="1957"/>
      <c r="AW174" s="1957"/>
      <c r="AX174" s="1957"/>
      <c r="AY174" s="1957"/>
      <c r="AZ174" s="1957"/>
      <c r="BA174" s="1957"/>
      <c r="BB174" s="1957"/>
    </row>
    <row r="175" ht="10.5" customHeight="1">
      <c r="AN175" s="1957"/>
      <c r="AO175" s="1957"/>
      <c r="AP175" s="1957"/>
      <c r="AQ175" s="2164"/>
      <c r="AR175" s="1957"/>
      <c r="AS175" s="1957"/>
      <c r="AT175" s="1957"/>
      <c r="AU175" s="1957"/>
      <c r="AV175" s="1957"/>
      <c r="AW175" s="1957"/>
      <c r="AX175" s="1957"/>
      <c r="AY175" s="1957"/>
      <c r="AZ175" s="1957"/>
      <c r="BA175" s="1957"/>
      <c r="BB175" s="1957"/>
    </row>
    <row r="176" ht="10.5" customHeight="1">
      <c r="A176" s="1208" t="s">
        <v>226</v>
      </c>
      <c r="B176" s="1208"/>
      <c r="C176" s="91"/>
      <c r="D176" s="91"/>
      <c r="E176" s="1209"/>
      <c r="F176" s="1209"/>
      <c r="G176" s="1209"/>
      <c r="H176" s="1209"/>
      <c r="I176" s="1209"/>
      <c r="J176" s="1210"/>
      <c r="K176" s="1674"/>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7"/>
      <c r="AO176" s="1957"/>
      <c r="AP176" s="1957"/>
      <c r="AQ176" s="1957"/>
      <c r="AR176" s="1957"/>
      <c r="AS176" s="1957"/>
      <c r="AT176" s="1957"/>
      <c r="AU176" s="1957"/>
      <c r="AV176" s="1957"/>
      <c r="AW176" s="1957"/>
      <c r="AX176" s="1957"/>
      <c r="AY176" s="1957"/>
      <c r="AZ176" s="1957"/>
      <c r="BA176" s="1957"/>
      <c r="BB176" s="1957"/>
    </row>
    <row r="177" ht="10.5" customHeight="1">
      <c r="A177" s="1208" t="s">
        <v>227</v>
      </c>
      <c r="B177" s="1208"/>
      <c r="C177" s="91"/>
      <c r="D177" s="91"/>
      <c r="E177" s="1209"/>
      <c r="F177" s="1209"/>
      <c r="G177" s="1209"/>
      <c r="H177" s="1209"/>
      <c r="I177" s="1209"/>
      <c r="J177" s="1210"/>
      <c r="K177" s="167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7"/>
      <c r="AO177" s="1957"/>
      <c r="AP177" s="1957"/>
      <c r="AQ177" s="1957"/>
      <c r="AR177" s="1957"/>
      <c r="AS177" s="1957"/>
      <c r="AT177" s="1957"/>
      <c r="AU177" s="1957"/>
      <c r="AV177" s="1957"/>
      <c r="AW177" s="1957"/>
      <c r="AX177" s="1957"/>
      <c r="AY177" s="1957"/>
      <c r="AZ177" s="1957"/>
      <c r="BA177" s="1957"/>
      <c r="BB177" s="1957"/>
    </row>
    <row r="178" ht="10.5" customHeight="1">
      <c r="A178" s="1208" t="s">
        <v>228</v>
      </c>
      <c r="B178" s="1208"/>
      <c r="C178" s="91"/>
      <c r="D178" s="91"/>
      <c r="E178" s="1209"/>
      <c r="F178" s="1209"/>
      <c r="G178" s="1209"/>
      <c r="H178" s="1209"/>
      <c r="I178" s="1209"/>
      <c r="J178" s="1210"/>
      <c r="K178" s="1675"/>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7"/>
      <c r="AO178" s="1957"/>
      <c r="AP178" s="1957"/>
      <c r="AQ178" s="1957"/>
      <c r="AR178" s="1957"/>
      <c r="AS178" s="1957"/>
      <c r="AT178" s="1957"/>
      <c r="AU178" s="1957"/>
      <c r="AV178" s="1957"/>
      <c r="AW178" s="1957"/>
      <c r="AX178" s="1957"/>
      <c r="AY178" s="1957"/>
      <c r="AZ178" s="1957"/>
      <c r="BA178" s="1957"/>
      <c r="BB178" s="1957"/>
    </row>
    <row r="179" ht="10.5" customHeight="1">
      <c r="A179" s="1208" t="s">
        <v>229</v>
      </c>
      <c r="B179" s="1208"/>
      <c r="C179" s="91"/>
      <c r="D179" s="91"/>
      <c r="E179" s="1209"/>
      <c r="F179" s="1209"/>
      <c r="G179" s="1209"/>
      <c r="H179" s="1209"/>
      <c r="I179" s="1209"/>
      <c r="J179" s="1210"/>
      <c r="K179" s="1675"/>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7"/>
      <c r="AO179" s="1957"/>
      <c r="AP179" s="1957"/>
      <c r="AQ179" s="1957"/>
      <c r="AR179" s="1957"/>
      <c r="AS179" s="1957"/>
      <c r="AT179" s="1957"/>
      <c r="AU179" s="1957"/>
      <c r="AV179" s="1957"/>
      <c r="AW179" s="1957"/>
      <c r="AX179" s="1957"/>
      <c r="AY179" s="1957"/>
      <c r="AZ179" s="1957"/>
      <c r="BA179" s="1957"/>
      <c r="BB179" s="1957"/>
    </row>
    <row r="180" ht="10.5" customHeight="1">
      <c r="A180" s="2165" t="s">
        <v>230</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957"/>
      <c r="AO180" s="1957"/>
      <c r="AP180" s="1957"/>
      <c r="AQ180" s="1957"/>
      <c r="AR180" s="1957"/>
      <c r="AS180" s="1957"/>
      <c r="AT180" s="1957"/>
      <c r="AU180" s="1957"/>
      <c r="AV180" s="1957"/>
      <c r="AW180" s="1957"/>
      <c r="AX180" s="1957"/>
      <c r="AY180" s="1957"/>
      <c r="AZ180" s="1957"/>
      <c r="BA180" s="1957"/>
      <c r="BB180" s="1957"/>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1"/>
      <c r="AO181" s="1471"/>
      <c r="AP181" s="1471"/>
      <c r="AQ181" s="1471"/>
      <c r="AR181" s="1471"/>
      <c r="AS181" s="1471"/>
      <c r="AT181" s="1471"/>
      <c r="AU181" s="1471"/>
      <c r="AV181" s="1471"/>
      <c r="AW181" s="1471"/>
      <c r="AX181" s="1471"/>
      <c r="AY181" s="1471"/>
      <c r="AZ181" s="1471"/>
      <c r="BA181" s="1471"/>
      <c r="BB181" s="1471"/>
      <c r="BC181" s="34"/>
      <c r="BD181" s="34"/>
      <c r="BE181" s="34"/>
      <c r="BF181" s="34"/>
      <c r="BG181" s="34"/>
      <c r="BH181" s="34"/>
      <c r="BI181" s="34"/>
      <c r="BJ181" s="34"/>
      <c r="BK181" s="34"/>
      <c r="BL181" s="34"/>
      <c r="BM181" s="34"/>
      <c r="BN181" s="34"/>
      <c r="BO181" s="34"/>
      <c r="BP181" s="34"/>
      <c r="BQ181" s="34"/>
      <c r="BR181" s="34"/>
    </row>
    <row r="182" ht="12.75" customHeight="1">
      <c r="A182" s="933" t="s">
        <v>738</v>
      </c>
      <c r="AN182" s="1957"/>
      <c r="AO182" s="1957"/>
      <c r="AP182" s="1957"/>
      <c r="AQ182" s="1957"/>
      <c r="AR182" s="1957"/>
      <c r="AS182" s="1957"/>
      <c r="AT182" s="1957"/>
      <c r="AU182" s="1957"/>
      <c r="AV182" s="1957"/>
      <c r="AW182" s="1957"/>
      <c r="AX182" s="1957"/>
      <c r="AY182" s="1957"/>
      <c r="AZ182" s="1957"/>
      <c r="BA182" s="1957"/>
      <c r="BB182" s="1957"/>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7"/>
      <c r="AO183" s="1957"/>
      <c r="AP183" s="1957"/>
      <c r="AQ183" s="1957"/>
      <c r="AR183" s="1957"/>
      <c r="AS183" s="1957"/>
      <c r="AT183" s="1957"/>
      <c r="AU183" s="1957"/>
      <c r="AV183" s="1957"/>
      <c r="AW183" s="1957"/>
      <c r="AX183" s="1957"/>
      <c r="AY183" s="1957"/>
      <c r="AZ183" s="1957"/>
      <c r="BA183" s="1957"/>
      <c r="BB183" s="1957"/>
    </row>
    <row r="184" ht="13.5" customHeight="1">
      <c r="A184" s="508"/>
      <c r="B184" s="86"/>
      <c r="C184" s="557" t="s">
        <v>232</v>
      </c>
      <c r="D184" s="85"/>
      <c r="E184" s="85"/>
      <c r="F184" s="85"/>
      <c r="G184" s="86"/>
      <c r="H184" s="1679" t="s">
        <v>233</v>
      </c>
      <c r="I184" s="85"/>
      <c r="J184" s="85"/>
      <c r="K184" s="85"/>
      <c r="L184" s="85"/>
      <c r="M184" s="85"/>
      <c r="N184" s="86"/>
      <c r="O184" s="1679" t="s">
        <v>234</v>
      </c>
      <c r="P184" s="85"/>
      <c r="Q184" s="85"/>
      <c r="R184" s="85"/>
      <c r="S184" s="85"/>
      <c r="T184" s="86"/>
      <c r="U184" s="1679" t="s">
        <v>235</v>
      </c>
      <c r="V184" s="86"/>
      <c r="W184" s="1679" t="s">
        <v>236</v>
      </c>
      <c r="X184" s="85"/>
      <c r="Y184" s="85"/>
      <c r="Z184" s="85"/>
      <c r="AA184" s="85"/>
      <c r="AB184" s="85"/>
      <c r="AC184" s="85"/>
      <c r="AD184" s="85"/>
      <c r="AE184" s="85"/>
      <c r="AF184" s="85"/>
      <c r="AG184" s="85"/>
      <c r="AH184" s="2166" t="s">
        <v>739</v>
      </c>
      <c r="AI184" s="85"/>
      <c r="AJ184" s="85"/>
      <c r="AK184" s="85"/>
      <c r="AL184" s="85"/>
      <c r="AM184" s="86"/>
      <c r="AN184" s="1957"/>
      <c r="AO184" s="1957"/>
      <c r="AP184" s="1957"/>
      <c r="AQ184" s="1957"/>
      <c r="AR184" s="1957"/>
      <c r="AS184" s="1957"/>
      <c r="AT184" s="1957"/>
      <c r="AU184" s="1957"/>
      <c r="AV184" s="1957"/>
      <c r="AW184" s="1957"/>
      <c r="AX184" s="1957"/>
      <c r="AY184" s="1957"/>
      <c r="AZ184" s="1957"/>
      <c r="BA184" s="1957"/>
      <c r="BB184" s="1957"/>
    </row>
    <row r="185" ht="45.0" customHeight="1">
      <c r="A185" s="634">
        <v>1.0</v>
      </c>
      <c r="B185" s="86"/>
      <c r="C185" s="513" t="str">
        <f>+E8</f>
        <v/>
      </c>
      <c r="D185" s="85"/>
      <c r="E185" s="85"/>
      <c r="F185" s="85"/>
      <c r="G185" s="86"/>
      <c r="H185" s="2167" t="str">
        <f>UPPER(Mercado!F47)</f>
        <v/>
      </c>
      <c r="I185" s="567"/>
      <c r="J185" s="567"/>
      <c r="K185" s="567"/>
      <c r="L185" s="567"/>
      <c r="M185" s="567"/>
      <c r="N185" s="512"/>
      <c r="O185" s="2168" t="str">
        <f>UPPER(Mercado!E47)</f>
        <v/>
      </c>
      <c r="P185" s="567"/>
      <c r="Q185" s="567"/>
      <c r="R185" s="567"/>
      <c r="S185" s="567"/>
      <c r="T185" s="512"/>
      <c r="U185" s="2169" t="str">
        <f>+Mercado!O47</f>
        <v/>
      </c>
      <c r="V185" s="512"/>
      <c r="W185" s="2170" t="str">
        <f>PROPER(Mercado!G47)</f>
        <v/>
      </c>
      <c r="X185" s="567"/>
      <c r="Y185" s="567"/>
      <c r="Z185" s="567"/>
      <c r="AA185" s="567"/>
      <c r="AB185" s="567"/>
      <c r="AC185" s="567"/>
      <c r="AD185" s="567"/>
      <c r="AE185" s="567"/>
      <c r="AF185" s="567"/>
      <c r="AG185" s="567"/>
      <c r="AH185" s="1217" t="str">
        <f>UPPER(CONCATENATE(Mercado!P47,Mercado!Q47,Mercado!R47))</f>
        <v/>
      </c>
      <c r="AI185" s="255"/>
      <c r="AJ185" s="255"/>
      <c r="AK185" s="255"/>
      <c r="AL185" s="255"/>
      <c r="AM185" s="253"/>
      <c r="AN185" s="1957"/>
      <c r="AO185" s="2171"/>
      <c r="AP185" s="2172" t="s">
        <v>238</v>
      </c>
      <c r="AQ185" s="2172" t="s">
        <v>239</v>
      </c>
      <c r="AR185" s="2172" t="s">
        <v>240</v>
      </c>
      <c r="AS185" s="2173" t="s">
        <v>239</v>
      </c>
      <c r="AT185" s="2171"/>
      <c r="AU185" s="2172" t="s">
        <v>238</v>
      </c>
      <c r="AV185" s="2172" t="s">
        <v>239</v>
      </c>
      <c r="AW185" s="2172"/>
      <c r="AX185" s="2172" t="s">
        <v>240</v>
      </c>
      <c r="AY185" s="2173" t="s">
        <v>239</v>
      </c>
      <c r="AZ185" s="1957"/>
      <c r="BA185" s="1957"/>
      <c r="BB185" s="1957"/>
    </row>
    <row r="186" ht="45.0" customHeight="1">
      <c r="A186" s="634">
        <v>2.0</v>
      </c>
      <c r="B186" s="86"/>
      <c r="C186" s="513" t="str">
        <f t="shared" ref="C186:C189" si="32">+C185</f>
        <v/>
      </c>
      <c r="D186" s="85"/>
      <c r="E186" s="85"/>
      <c r="F186" s="85"/>
      <c r="G186" s="86"/>
      <c r="H186" s="2167" t="str">
        <f>UPPER(Mercado!F48)</f>
        <v/>
      </c>
      <c r="I186" s="567"/>
      <c r="J186" s="567"/>
      <c r="K186" s="567"/>
      <c r="L186" s="567"/>
      <c r="M186" s="567"/>
      <c r="N186" s="512"/>
      <c r="O186" s="2168" t="str">
        <f>UPPER(Mercado!E48)</f>
        <v/>
      </c>
      <c r="P186" s="567"/>
      <c r="Q186" s="567"/>
      <c r="R186" s="567"/>
      <c r="S186" s="567"/>
      <c r="T186" s="512"/>
      <c r="U186" s="2169" t="str">
        <f>+Mercado!O48</f>
        <v/>
      </c>
      <c r="V186" s="512"/>
      <c r="W186" s="2170" t="str">
        <f>PROPER(Mercado!G48)</f>
        <v/>
      </c>
      <c r="X186" s="567"/>
      <c r="Y186" s="567"/>
      <c r="Z186" s="567"/>
      <c r="AA186" s="567"/>
      <c r="AB186" s="567"/>
      <c r="AC186" s="567"/>
      <c r="AD186" s="567"/>
      <c r="AE186" s="567"/>
      <c r="AF186" s="567"/>
      <c r="AG186" s="567"/>
      <c r="AH186" s="1217" t="str">
        <f>UPPER(CONCATENATE(Mercado!P48,Mercado!Q48,Mercado!R48))</f>
        <v/>
      </c>
      <c r="AI186" s="255"/>
      <c r="AJ186" s="255"/>
      <c r="AK186" s="255"/>
      <c r="AL186" s="255"/>
      <c r="AM186" s="253"/>
      <c r="AN186" s="1957"/>
      <c r="AO186" s="2174" t="s">
        <v>170</v>
      </c>
      <c r="AP186" s="2175">
        <f>+AC108</f>
        <v>0</v>
      </c>
      <c r="AQ186" s="2176" t="str">
        <f t="shared" ref="AQ186:AQ188" si="33">+AP186/$AP$188</f>
        <v>#DIV/0!</v>
      </c>
      <c r="AR186" s="2175">
        <f>+AC108</f>
        <v>0</v>
      </c>
      <c r="AS186" s="2177" t="str">
        <f t="shared" ref="AS186:AS188" si="34">+AR186/$AR$188</f>
        <v>#DIV/0!</v>
      </c>
      <c r="AT186" s="2174" t="s">
        <v>241</v>
      </c>
      <c r="AU186" s="2175">
        <f>+AJ111</f>
        <v>0</v>
      </c>
      <c r="AV186" s="2176" t="str">
        <f t="shared" ref="AV186:AV189" si="35">+AU186/$AU$191</f>
        <v>#DIV/0!</v>
      </c>
      <c r="AW186" s="2174" t="s">
        <v>241</v>
      </c>
      <c r="AX186" s="2175">
        <f>+AU186</f>
        <v>0</v>
      </c>
      <c r="AY186" s="2177" t="str">
        <f t="shared" ref="AY186:AY188" si="36">+AX186/$AX$191</f>
        <v>#DIV/0!</v>
      </c>
      <c r="AZ186" s="1957"/>
      <c r="BA186" s="1957"/>
      <c r="BB186" s="1957"/>
    </row>
    <row r="187" ht="45.0" customHeight="1">
      <c r="A187" s="634">
        <v>3.0</v>
      </c>
      <c r="B187" s="86"/>
      <c r="C187" s="513" t="str">
        <f t="shared" si="32"/>
        <v/>
      </c>
      <c r="D187" s="85"/>
      <c r="E187" s="85"/>
      <c r="F187" s="85"/>
      <c r="G187" s="86"/>
      <c r="H187" s="2167" t="str">
        <f>UPPER(Mercado!F49)</f>
        <v/>
      </c>
      <c r="I187" s="567"/>
      <c r="J187" s="567"/>
      <c r="K187" s="567"/>
      <c r="L187" s="567"/>
      <c r="M187" s="567"/>
      <c r="N187" s="512"/>
      <c r="O187" s="2168" t="str">
        <f>UPPER(Mercado!E49)</f>
        <v/>
      </c>
      <c r="P187" s="567"/>
      <c r="Q187" s="567"/>
      <c r="R187" s="567"/>
      <c r="S187" s="567"/>
      <c r="T187" s="512"/>
      <c r="U187" s="2169" t="str">
        <f>+Mercado!O49</f>
        <v/>
      </c>
      <c r="V187" s="512"/>
      <c r="W187" s="2170" t="str">
        <f>PROPER(Mercado!G49)</f>
        <v/>
      </c>
      <c r="X187" s="567"/>
      <c r="Y187" s="567"/>
      <c r="Z187" s="567"/>
      <c r="AA187" s="567"/>
      <c r="AB187" s="567"/>
      <c r="AC187" s="567"/>
      <c r="AD187" s="567"/>
      <c r="AE187" s="567"/>
      <c r="AF187" s="567"/>
      <c r="AG187" s="567"/>
      <c r="AH187" s="1217" t="str">
        <f>UPPER(CONCATENATE(Mercado!P49,Mercado!Q49,Mercado!R49))</f>
        <v/>
      </c>
      <c r="AI187" s="255"/>
      <c r="AJ187" s="255"/>
      <c r="AK187" s="255"/>
      <c r="AL187" s="255"/>
      <c r="AM187" s="253"/>
      <c r="AN187" s="1957"/>
      <c r="AO187" s="2174" t="s">
        <v>242</v>
      </c>
      <c r="AP187" s="2178">
        <f>+AC115</f>
        <v>0</v>
      </c>
      <c r="AQ187" s="2176" t="str">
        <f t="shared" si="33"/>
        <v>#DIV/0!</v>
      </c>
      <c r="AR187" s="2179" t="str">
        <f>+AL209-AR186</f>
        <v>#DIV/0!</v>
      </c>
      <c r="AS187" s="2177" t="str">
        <f t="shared" si="34"/>
        <v>#DIV/0!</v>
      </c>
      <c r="AT187" s="2174" t="s">
        <v>243</v>
      </c>
      <c r="AU187" s="2178">
        <f>AJ123</f>
        <v>0</v>
      </c>
      <c r="AV187" s="2176" t="str">
        <f t="shared" si="35"/>
        <v>#DIV/0!</v>
      </c>
      <c r="AW187" s="2174" t="s">
        <v>243</v>
      </c>
      <c r="AX187" s="2179" t="str">
        <f>+AJ215-AX186</f>
        <v>#DIV/0!</v>
      </c>
      <c r="AY187" s="2177" t="str">
        <f t="shared" si="36"/>
        <v>#DIV/0!</v>
      </c>
      <c r="AZ187" s="1957"/>
      <c r="BA187" s="1957"/>
      <c r="BB187" s="1957"/>
    </row>
    <row r="188" ht="45.0" customHeight="1">
      <c r="A188" s="634">
        <v>4.0</v>
      </c>
      <c r="B188" s="86"/>
      <c r="C188" s="513" t="str">
        <f t="shared" si="32"/>
        <v/>
      </c>
      <c r="D188" s="85"/>
      <c r="E188" s="85"/>
      <c r="F188" s="85"/>
      <c r="G188" s="86"/>
      <c r="H188" s="2167" t="str">
        <f>UPPER(Mercado!F50)</f>
        <v/>
      </c>
      <c r="I188" s="567"/>
      <c r="J188" s="567"/>
      <c r="K188" s="567"/>
      <c r="L188" s="567"/>
      <c r="M188" s="567"/>
      <c r="N188" s="512"/>
      <c r="O188" s="2168" t="str">
        <f>UPPER(Mercado!E50)</f>
        <v/>
      </c>
      <c r="P188" s="567"/>
      <c r="Q188" s="567"/>
      <c r="R188" s="567"/>
      <c r="S188" s="567"/>
      <c r="T188" s="512"/>
      <c r="U188" s="2169" t="str">
        <f>+Mercado!O50</f>
        <v/>
      </c>
      <c r="V188" s="512"/>
      <c r="W188" s="2170" t="str">
        <f>PROPER(Mercado!G50)</f>
        <v/>
      </c>
      <c r="X188" s="567"/>
      <c r="Y188" s="567"/>
      <c r="Z188" s="567"/>
      <c r="AA188" s="567"/>
      <c r="AB188" s="567"/>
      <c r="AC188" s="567"/>
      <c r="AD188" s="567"/>
      <c r="AE188" s="567"/>
      <c r="AF188" s="567"/>
      <c r="AG188" s="567"/>
      <c r="AH188" s="1217" t="str">
        <f>UPPER(CONCATENATE(Mercado!P50,Mercado!Q50,Mercado!R50))</f>
        <v/>
      </c>
      <c r="AI188" s="255"/>
      <c r="AJ188" s="255"/>
      <c r="AK188" s="255"/>
      <c r="AL188" s="255"/>
      <c r="AM188" s="253"/>
      <c r="AN188" s="1957"/>
      <c r="AO188" s="2180" t="s">
        <v>244</v>
      </c>
      <c r="AP188" s="2181">
        <f>SUM(AP186:AP187)</f>
        <v>0</v>
      </c>
      <c r="AQ188" s="2182" t="str">
        <f t="shared" si="33"/>
        <v>#DIV/0!</v>
      </c>
      <c r="AR188" s="2183" t="str">
        <f>SUM(AR186:AR187)</f>
        <v>#DIV/0!</v>
      </c>
      <c r="AS188" s="2184" t="str">
        <f t="shared" si="34"/>
        <v>#DIV/0!</v>
      </c>
      <c r="AT188" s="2185" t="s">
        <v>245</v>
      </c>
      <c r="AU188" s="2175">
        <f>AJ135</f>
        <v>0</v>
      </c>
      <c r="AV188" s="2186" t="str">
        <f t="shared" si="35"/>
        <v>#DIV/0!</v>
      </c>
      <c r="AW188" s="2187"/>
      <c r="AX188" s="1471"/>
      <c r="AY188" s="2177" t="str">
        <f t="shared" si="36"/>
        <v>#DIV/0!</v>
      </c>
      <c r="AZ188" s="1957"/>
      <c r="BA188" s="1957"/>
      <c r="BB188" s="1957"/>
    </row>
    <row r="189" ht="45.0" customHeight="1">
      <c r="A189" s="634">
        <v>5.0</v>
      </c>
      <c r="B189" s="86"/>
      <c r="C189" s="513" t="str">
        <f t="shared" si="32"/>
        <v/>
      </c>
      <c r="D189" s="85"/>
      <c r="E189" s="85"/>
      <c r="F189" s="85"/>
      <c r="G189" s="86"/>
      <c r="H189" s="1218" t="str">
        <f>UPPER(Mercado!F51)</f>
        <v/>
      </c>
      <c r="I189" s="85"/>
      <c r="J189" s="85"/>
      <c r="K189" s="85"/>
      <c r="L189" s="85"/>
      <c r="M189" s="85"/>
      <c r="N189" s="86"/>
      <c r="O189" s="1219" t="str">
        <f>UPPER(Mercado!E51)</f>
        <v/>
      </c>
      <c r="P189" s="85"/>
      <c r="Q189" s="85"/>
      <c r="R189" s="85"/>
      <c r="S189" s="85"/>
      <c r="T189" s="86"/>
      <c r="U189" s="1309" t="str">
        <f>+Mercado!O51</f>
        <v/>
      </c>
      <c r="V189" s="86"/>
      <c r="W189" s="1221" t="str">
        <f>PROPER(Mercado!G51)</f>
        <v/>
      </c>
      <c r="X189" s="85"/>
      <c r="Y189" s="85"/>
      <c r="Z189" s="85"/>
      <c r="AA189" s="85"/>
      <c r="AB189" s="85"/>
      <c r="AC189" s="85"/>
      <c r="AD189" s="85"/>
      <c r="AE189" s="85"/>
      <c r="AF189" s="85"/>
      <c r="AG189" s="85"/>
      <c r="AH189" s="1222" t="str">
        <f>UPPER(CONCATENATE(Mercado!P51,Mercado!Q51,Mercado!R51))</f>
        <v/>
      </c>
      <c r="AI189" s="85"/>
      <c r="AJ189" s="85"/>
      <c r="AK189" s="85"/>
      <c r="AL189" s="85"/>
      <c r="AM189" s="86"/>
      <c r="AN189" s="1957"/>
      <c r="AO189" s="1957"/>
      <c r="AP189" s="1957"/>
      <c r="AQ189" s="1957"/>
      <c r="AR189" s="1957"/>
      <c r="AS189" s="1957"/>
      <c r="AT189" s="2188" t="s">
        <v>740</v>
      </c>
      <c r="AU189" s="2189">
        <f>AJ157</f>
        <v>0</v>
      </c>
      <c r="AV189" s="2186" t="str">
        <f t="shared" si="35"/>
        <v>#DIV/0!</v>
      </c>
      <c r="AW189" s="1957"/>
      <c r="AX189" s="1957"/>
      <c r="AY189" s="1957"/>
      <c r="AZ189" s="1957"/>
      <c r="BA189" s="1957"/>
      <c r="BB189" s="1957"/>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7"/>
      <c r="AO190" s="1957"/>
      <c r="AP190" s="1957"/>
      <c r="AQ190" s="1957"/>
      <c r="AR190" s="1957"/>
      <c r="AS190" s="1957"/>
      <c r="AT190" s="1957"/>
      <c r="AU190" s="1957"/>
      <c r="AV190" s="1957"/>
      <c r="AW190" s="1957"/>
      <c r="AX190" s="1957"/>
      <c r="AY190" s="1957"/>
      <c r="AZ190" s="1957"/>
      <c r="BA190" s="1957"/>
      <c r="BB190" s="1957"/>
    </row>
    <row r="191" ht="12.75" customHeight="1">
      <c r="A191" s="552" t="s">
        <v>246</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7"/>
      <c r="AO191" s="1957"/>
      <c r="AP191" s="1957"/>
      <c r="AQ191" s="1957"/>
      <c r="AR191" s="1957"/>
      <c r="AS191" s="1957"/>
      <c r="AT191" s="2180" t="s">
        <v>244</v>
      </c>
      <c r="AU191" s="2181">
        <f>SUM(AU186:AU187)</f>
        <v>0</v>
      </c>
      <c r="AV191" s="2182" t="str">
        <f>+AU191/$AU$191</f>
        <v>#DIV/0!</v>
      </c>
      <c r="AW191" s="2182"/>
      <c r="AX191" s="2183" t="str">
        <f>SUM(AX186:AX187)</f>
        <v>#DIV/0!</v>
      </c>
      <c r="AY191" s="2184" t="str">
        <f>+AX191/$AX$191</f>
        <v>#DIV/0!</v>
      </c>
      <c r="AZ191" s="1957"/>
      <c r="BA191" s="1957"/>
      <c r="BB191" s="1957"/>
    </row>
    <row r="192" ht="12.75" customHeight="1">
      <c r="A192" s="1333"/>
      <c r="B192" s="86"/>
      <c r="C192" s="1354" t="s">
        <v>247</v>
      </c>
      <c r="D192" s="85"/>
      <c r="E192" s="86"/>
      <c r="F192" s="1354" t="s">
        <v>248</v>
      </c>
      <c r="G192" s="85"/>
      <c r="H192" s="86"/>
      <c r="I192" s="558" t="s">
        <v>249</v>
      </c>
      <c r="J192" s="85"/>
      <c r="K192" s="85"/>
      <c r="L192" s="86"/>
      <c r="M192" s="558" t="s">
        <v>250</v>
      </c>
      <c r="N192" s="85"/>
      <c r="O192" s="86"/>
      <c r="P192" s="1354" t="s">
        <v>251</v>
      </c>
      <c r="Q192" s="86"/>
      <c r="R192" s="1354" t="s">
        <v>252</v>
      </c>
      <c r="S192" s="85"/>
      <c r="T192" s="86"/>
      <c r="U192" s="2190"/>
      <c r="V192" s="2191"/>
      <c r="W192" s="2192" t="s">
        <v>253</v>
      </c>
      <c r="X192" s="85"/>
      <c r="Y192" s="86"/>
      <c r="Z192" s="2192" t="s">
        <v>254</v>
      </c>
      <c r="AA192" s="85"/>
      <c r="AB192" s="85"/>
      <c r="AC192" s="86"/>
      <c r="AD192" s="561" t="s">
        <v>255</v>
      </c>
      <c r="AE192" s="85"/>
      <c r="AF192" s="86"/>
      <c r="AG192" s="562" t="s">
        <v>256</v>
      </c>
      <c r="AH192" s="86"/>
      <c r="AI192" s="557" t="s">
        <v>257</v>
      </c>
      <c r="AJ192" s="85"/>
      <c r="AK192" s="86"/>
      <c r="AL192" s="558" t="s">
        <v>258</v>
      </c>
      <c r="AM192" s="86"/>
      <c r="AN192" s="1957"/>
      <c r="AO192" s="1957"/>
      <c r="AP192" s="1957"/>
      <c r="AQ192" s="1957"/>
      <c r="AR192" s="1957"/>
      <c r="AS192" s="1957"/>
      <c r="AT192" s="1957"/>
      <c r="AU192" s="1957"/>
      <c r="AV192" s="1957"/>
      <c r="AW192" s="1957"/>
      <c r="AX192" s="1957"/>
      <c r="AY192" s="1957"/>
      <c r="AZ192" s="1957"/>
      <c r="BA192" s="1957"/>
      <c r="BB192" s="1957"/>
    </row>
    <row r="193" ht="12.75" customHeight="1">
      <c r="A193" s="1334">
        <v>1.0</v>
      </c>
      <c r="B193" s="512"/>
      <c r="C193" s="2193">
        <f>Mercado!H30</f>
        <v>117</v>
      </c>
      <c r="E193" s="365"/>
      <c r="F193" s="2194">
        <f>Mercado!I30</f>
        <v>71</v>
      </c>
      <c r="G193" s="664"/>
      <c r="H193" s="2195"/>
      <c r="I193" s="2194">
        <f>Mercado!J30</f>
        <v>2700000</v>
      </c>
      <c r="J193" s="664"/>
      <c r="K193" s="664"/>
      <c r="L193" s="665"/>
      <c r="M193" s="2196">
        <f t="shared" ref="M193:M197" si="37">I193/F193</f>
        <v>38028.16901</v>
      </c>
      <c r="N193" s="567"/>
      <c r="O193" s="512"/>
      <c r="P193" s="2197">
        <f t="shared" ref="P193:P197" si="38">+F193/C193</f>
        <v>0.6068376068</v>
      </c>
      <c r="Q193" s="253"/>
      <c r="R193" s="2197" t="str">
        <f>'OPI Rentas'!K123/'OPI Rentas'!C111</f>
        <v>#DIV/0!</v>
      </c>
      <c r="S193" s="255"/>
      <c r="T193" s="253"/>
      <c r="U193" s="2198"/>
      <c r="V193" s="2199"/>
      <c r="W193" s="2200" t="str">
        <f t="shared" ref="W193:W197" si="39">+F193/R193</f>
        <v>#DIV/0!</v>
      </c>
      <c r="X193" s="255"/>
      <c r="Y193" s="253"/>
      <c r="Z193" s="2200" t="str">
        <f t="shared" ref="Z193:Z197" si="40">+W193-C193</f>
        <v>#DIV/0!</v>
      </c>
      <c r="AA193" s="255"/>
      <c r="AB193" s="255"/>
      <c r="AC193" s="253"/>
      <c r="AD193" s="2201" t="str">
        <f>+G108</f>
        <v/>
      </c>
      <c r="AE193" s="255"/>
      <c r="AF193" s="253"/>
      <c r="AG193" s="2202" t="str">
        <f t="shared" ref="AG193:AG197" si="41">+Z193*AD193</f>
        <v>#DIV/0!</v>
      </c>
      <c r="AH193" s="253"/>
      <c r="AI193" s="2203" t="str">
        <f t="shared" ref="AI193:AI197" si="42">+I193+AG193</f>
        <v>#DIV/0!</v>
      </c>
      <c r="AJ193" s="255"/>
      <c r="AK193" s="253"/>
      <c r="AL193" s="2204" t="str">
        <f t="shared" ref="AL193:AL197" si="43">+AI193/F193</f>
        <v>#DIV/0!</v>
      </c>
      <c r="AM193" s="263"/>
      <c r="AN193" s="1957"/>
      <c r="AO193" s="1957"/>
      <c r="AP193" s="1957"/>
      <c r="AQ193" s="1963"/>
      <c r="AU193" s="1957"/>
      <c r="AV193" s="1957"/>
      <c r="AW193" s="1957"/>
      <c r="AX193" s="1957"/>
      <c r="AY193" s="1957"/>
      <c r="AZ193" s="1957"/>
      <c r="BA193" s="1957"/>
      <c r="BB193" s="1957"/>
    </row>
    <row r="194" ht="12.75" customHeight="1">
      <c r="A194" s="1338">
        <v>2.0</v>
      </c>
      <c r="B194" s="524"/>
      <c r="C194" s="2205">
        <f>Mercado!H31</f>
        <v>276</v>
      </c>
      <c r="D194" s="582"/>
      <c r="E194" s="583"/>
      <c r="F194" s="2205">
        <f>Mercado!I31</f>
        <v>193</v>
      </c>
      <c r="G194" s="582"/>
      <c r="H194" s="583"/>
      <c r="I194" s="2205">
        <f>Mercado!J31</f>
        <v>6600000</v>
      </c>
      <c r="J194" s="582"/>
      <c r="K194" s="582"/>
      <c r="L194" s="524"/>
      <c r="M194" s="2206">
        <f t="shared" si="37"/>
        <v>34196.89119</v>
      </c>
      <c r="N194" s="582"/>
      <c r="O194" s="524"/>
      <c r="P194" s="2207">
        <f t="shared" si="38"/>
        <v>0.6992753623</v>
      </c>
      <c r="Q194" s="524"/>
      <c r="R194" s="2207" t="str">
        <f t="shared" ref="R194:R197" si="44">R193</f>
        <v>#DIV/0!</v>
      </c>
      <c r="S194" s="582"/>
      <c r="T194" s="524"/>
      <c r="U194" s="2198"/>
      <c r="V194" s="2199"/>
      <c r="W194" s="2208" t="str">
        <f t="shared" si="39"/>
        <v>#DIV/0!</v>
      </c>
      <c r="X194" s="582"/>
      <c r="Y194" s="524"/>
      <c r="Z194" s="2208" t="str">
        <f t="shared" si="40"/>
        <v>#DIV/0!</v>
      </c>
      <c r="AA194" s="582"/>
      <c r="AB194" s="582"/>
      <c r="AC194" s="524"/>
      <c r="AD194" s="2209" t="str">
        <f t="shared" ref="AD194:AD197" si="45">AD193</f>
        <v/>
      </c>
      <c r="AE194" s="582"/>
      <c r="AF194" s="524"/>
      <c r="AG194" s="2210" t="str">
        <f t="shared" si="41"/>
        <v>#DIV/0!</v>
      </c>
      <c r="AH194" s="524"/>
      <c r="AI194" s="2211" t="str">
        <f t="shared" si="42"/>
        <v>#DIV/0!</v>
      </c>
      <c r="AJ194" s="582"/>
      <c r="AK194" s="524"/>
      <c r="AL194" s="2212" t="str">
        <f t="shared" si="43"/>
        <v>#DIV/0!</v>
      </c>
      <c r="AM194" s="524"/>
      <c r="AN194" s="1957"/>
      <c r="AO194" s="1957"/>
      <c r="AP194" s="1957"/>
      <c r="AQ194" s="1957"/>
      <c r="AR194" s="1957"/>
      <c r="AS194" s="1957"/>
      <c r="AT194" s="1957"/>
      <c r="AU194" s="1957"/>
      <c r="AV194" s="1957"/>
      <c r="AW194" s="1957"/>
      <c r="AX194" s="1957"/>
      <c r="AY194" s="1957"/>
      <c r="AZ194" s="1957"/>
      <c r="BA194" s="1957"/>
      <c r="BB194" s="1957"/>
    </row>
    <row r="195" ht="12.75" customHeight="1">
      <c r="A195" s="1338">
        <v>3.0</v>
      </c>
      <c r="B195" s="524"/>
      <c r="C195" s="2205">
        <f>Mercado!H32</f>
        <v>140</v>
      </c>
      <c r="D195" s="582"/>
      <c r="E195" s="583"/>
      <c r="F195" s="2205">
        <f>Mercado!I32</f>
        <v>103</v>
      </c>
      <c r="G195" s="582"/>
      <c r="H195" s="583"/>
      <c r="I195" s="2205">
        <f>Mercado!J32</f>
        <v>3790000</v>
      </c>
      <c r="J195" s="582"/>
      <c r="K195" s="582"/>
      <c r="L195" s="524"/>
      <c r="M195" s="2206">
        <f t="shared" si="37"/>
        <v>36796.1165</v>
      </c>
      <c r="N195" s="582"/>
      <c r="O195" s="524"/>
      <c r="P195" s="2207">
        <f t="shared" si="38"/>
        <v>0.7357142857</v>
      </c>
      <c r="Q195" s="524"/>
      <c r="R195" s="2207" t="str">
        <f t="shared" si="44"/>
        <v>#DIV/0!</v>
      </c>
      <c r="S195" s="582"/>
      <c r="T195" s="524"/>
      <c r="U195" s="2198"/>
      <c r="V195" s="2199"/>
      <c r="W195" s="2208" t="str">
        <f t="shared" si="39"/>
        <v>#DIV/0!</v>
      </c>
      <c r="X195" s="582"/>
      <c r="Y195" s="524"/>
      <c r="Z195" s="2208" t="str">
        <f t="shared" si="40"/>
        <v>#DIV/0!</v>
      </c>
      <c r="AA195" s="582"/>
      <c r="AB195" s="582"/>
      <c r="AC195" s="524"/>
      <c r="AD195" s="2209" t="str">
        <f t="shared" si="45"/>
        <v/>
      </c>
      <c r="AE195" s="582"/>
      <c r="AF195" s="524"/>
      <c r="AG195" s="2210" t="str">
        <f t="shared" si="41"/>
        <v>#DIV/0!</v>
      </c>
      <c r="AH195" s="524"/>
      <c r="AI195" s="2211" t="str">
        <f t="shared" si="42"/>
        <v>#DIV/0!</v>
      </c>
      <c r="AJ195" s="582"/>
      <c r="AK195" s="524"/>
      <c r="AL195" s="2212" t="str">
        <f t="shared" si="43"/>
        <v>#DIV/0!</v>
      </c>
      <c r="AM195" s="524"/>
      <c r="AN195" s="1957"/>
      <c r="AO195" s="1957"/>
      <c r="AP195" s="1957"/>
      <c r="AQ195" s="1957"/>
      <c r="AR195" s="1471"/>
      <c r="AS195" s="2213"/>
      <c r="AT195" s="2213"/>
      <c r="AU195" s="2213"/>
      <c r="AV195" s="2213"/>
      <c r="AW195" s="2213"/>
      <c r="AX195" s="2213"/>
      <c r="AY195" s="2213"/>
      <c r="AZ195" s="2213"/>
      <c r="BA195" s="2213"/>
      <c r="BB195" s="1471"/>
    </row>
    <row r="196" ht="15.0" customHeight="1">
      <c r="A196" s="1338">
        <v>4.0</v>
      </c>
      <c r="B196" s="524"/>
      <c r="C196" s="2205">
        <f>Mercado!H33</f>
        <v>314</v>
      </c>
      <c r="D196" s="582"/>
      <c r="E196" s="583"/>
      <c r="F196" s="2205">
        <f>Mercado!I33</f>
        <v>201</v>
      </c>
      <c r="G196" s="582"/>
      <c r="H196" s="583"/>
      <c r="I196" s="2205">
        <f>Mercado!J33</f>
        <v>7500000</v>
      </c>
      <c r="J196" s="582"/>
      <c r="K196" s="582"/>
      <c r="L196" s="524"/>
      <c r="M196" s="2206">
        <f t="shared" si="37"/>
        <v>37313.43284</v>
      </c>
      <c r="N196" s="582"/>
      <c r="O196" s="524"/>
      <c r="P196" s="2207">
        <f t="shared" si="38"/>
        <v>0.6401273885</v>
      </c>
      <c r="Q196" s="524"/>
      <c r="R196" s="2207" t="str">
        <f t="shared" si="44"/>
        <v>#DIV/0!</v>
      </c>
      <c r="S196" s="582"/>
      <c r="T196" s="524"/>
      <c r="U196" s="2198"/>
      <c r="V196" s="2199"/>
      <c r="W196" s="2208" t="str">
        <f t="shared" si="39"/>
        <v>#DIV/0!</v>
      </c>
      <c r="X196" s="582"/>
      <c r="Y196" s="524"/>
      <c r="Z196" s="2208" t="str">
        <f t="shared" si="40"/>
        <v>#DIV/0!</v>
      </c>
      <c r="AA196" s="582"/>
      <c r="AB196" s="582"/>
      <c r="AC196" s="524"/>
      <c r="AD196" s="2209" t="str">
        <f t="shared" si="45"/>
        <v/>
      </c>
      <c r="AE196" s="582"/>
      <c r="AF196" s="524"/>
      <c r="AG196" s="2210" t="str">
        <f t="shared" si="41"/>
        <v>#DIV/0!</v>
      </c>
      <c r="AH196" s="524"/>
      <c r="AI196" s="2211" t="str">
        <f t="shared" si="42"/>
        <v>#DIV/0!</v>
      </c>
      <c r="AJ196" s="582"/>
      <c r="AK196" s="524"/>
      <c r="AL196" s="2212" t="str">
        <f t="shared" si="43"/>
        <v>#DIV/0!</v>
      </c>
      <c r="AM196" s="524"/>
      <c r="AN196" s="1957"/>
      <c r="AO196" s="1957"/>
      <c r="AP196" s="1957"/>
      <c r="AQ196" s="1957"/>
      <c r="AR196" s="1471"/>
      <c r="AS196" s="2214"/>
      <c r="AT196" s="2214"/>
      <c r="AU196" s="2214"/>
      <c r="AV196" s="2214"/>
      <c r="AW196" s="2214"/>
      <c r="AX196" s="2214"/>
      <c r="AY196" s="2214"/>
      <c r="AZ196" s="2214"/>
      <c r="BA196" s="2214"/>
      <c r="BB196" s="1471"/>
    </row>
    <row r="197" ht="15.0" customHeight="1">
      <c r="A197" s="2215">
        <v>5.0</v>
      </c>
      <c r="B197" s="596"/>
      <c r="C197" s="2216">
        <f>Mercado!H34</f>
        <v>175</v>
      </c>
      <c r="D197" s="604"/>
      <c r="E197" s="1716"/>
      <c r="F197" s="2217">
        <f>Mercado!I34</f>
        <v>158</v>
      </c>
      <c r="G197" s="2218"/>
      <c r="H197" s="2219"/>
      <c r="I197" s="2217">
        <f>Mercado!J34</f>
        <v>4200000</v>
      </c>
      <c r="J197" s="2218"/>
      <c r="K197" s="2218"/>
      <c r="L197" s="2220"/>
      <c r="M197" s="2221">
        <f t="shared" si="37"/>
        <v>26582.27848</v>
      </c>
      <c r="N197" s="2222"/>
      <c r="O197" s="2223"/>
      <c r="P197" s="2224">
        <f t="shared" si="38"/>
        <v>0.9028571429</v>
      </c>
      <c r="Q197" s="596"/>
      <c r="R197" s="2224" t="str">
        <f t="shared" si="44"/>
        <v>#DIV/0!</v>
      </c>
      <c r="S197" s="604"/>
      <c r="T197" s="596"/>
      <c r="U197" s="2225"/>
      <c r="V197" s="2226"/>
      <c r="W197" s="2227" t="str">
        <f t="shared" si="39"/>
        <v>#DIV/0!</v>
      </c>
      <c r="X197" s="604"/>
      <c r="Y197" s="596"/>
      <c r="Z197" s="2227" t="str">
        <f t="shared" si="40"/>
        <v>#DIV/0!</v>
      </c>
      <c r="AA197" s="604"/>
      <c r="AB197" s="604"/>
      <c r="AC197" s="596"/>
      <c r="AD197" s="2228" t="str">
        <f t="shared" si="45"/>
        <v/>
      </c>
      <c r="AE197" s="604"/>
      <c r="AF197" s="596"/>
      <c r="AG197" s="2229" t="str">
        <f t="shared" si="41"/>
        <v>#DIV/0!</v>
      </c>
      <c r="AH197" s="596"/>
      <c r="AI197" s="2230" t="str">
        <f t="shared" si="42"/>
        <v>#DIV/0!</v>
      </c>
      <c r="AJ197" s="604"/>
      <c r="AK197" s="596"/>
      <c r="AL197" s="2231" t="str">
        <f t="shared" si="43"/>
        <v>#DIV/0!</v>
      </c>
      <c r="AM197" s="596"/>
      <c r="AN197" s="1957"/>
      <c r="AO197" s="1957"/>
      <c r="AP197" s="1957"/>
      <c r="AQ197" s="1957"/>
      <c r="AR197" s="1957"/>
      <c r="AS197" s="1957"/>
      <c r="AT197" s="1957"/>
      <c r="AU197" s="1957"/>
      <c r="AV197" s="1957"/>
      <c r="AW197" s="1957"/>
      <c r="AX197" s="1957"/>
      <c r="AY197" s="1957"/>
      <c r="AZ197" s="1957"/>
      <c r="BA197" s="1957"/>
      <c r="BB197" s="1957"/>
    </row>
    <row r="198" ht="7.5" customHeight="1">
      <c r="A198" s="613"/>
      <c r="B198" s="367"/>
      <c r="C198" s="614" t="s">
        <v>104</v>
      </c>
      <c r="F198" s="615" t="s">
        <v>104</v>
      </c>
      <c r="I198" s="615"/>
      <c r="M198" s="615"/>
      <c r="N198" s="616"/>
      <c r="P198" s="617"/>
      <c r="R198" s="34"/>
      <c r="U198" s="618"/>
      <c r="V198" s="618"/>
      <c r="W198" s="34"/>
      <c r="Z198" s="34"/>
      <c r="AD198" s="619"/>
      <c r="AG198" s="620"/>
      <c r="AI198" s="621"/>
      <c r="AL198" s="622"/>
      <c r="AN198" s="1471"/>
      <c r="AO198" s="1471"/>
      <c r="AP198" s="1471"/>
      <c r="AQ198" s="1471"/>
      <c r="AR198" s="1471"/>
      <c r="AS198" s="1471"/>
      <c r="AT198" s="1471"/>
      <c r="AU198" s="1471"/>
      <c r="AV198" s="1471"/>
      <c r="AW198" s="1471"/>
      <c r="AX198" s="1471"/>
      <c r="AY198" s="1471"/>
      <c r="AZ198" s="1471"/>
      <c r="BA198" s="1471"/>
      <c r="BB198" s="1471"/>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5"/>
      <c r="L199" s="1326" t="s">
        <v>259</v>
      </c>
      <c r="M199" s="1327">
        <f>AVERAGE(M193:M197)</f>
        <v>34583.37761</v>
      </c>
      <c r="N199" s="482"/>
      <c r="O199" s="483"/>
      <c r="P199" s="1325"/>
      <c r="Q199" s="2232"/>
      <c r="R199" s="2232"/>
      <c r="S199" s="1325"/>
      <c r="T199" s="2232"/>
      <c r="U199" s="2232"/>
      <c r="V199" s="2232"/>
      <c r="W199" s="2232"/>
      <c r="X199" s="1325"/>
      <c r="Y199" s="2232"/>
      <c r="Z199" s="2232"/>
      <c r="AA199" s="1325"/>
      <c r="AB199" s="1325"/>
      <c r="AC199" s="1325"/>
      <c r="AD199" s="1325"/>
      <c r="AE199" s="1325"/>
      <c r="AF199" s="1325"/>
      <c r="AG199" s="1325"/>
      <c r="AH199" s="1320"/>
      <c r="AI199" s="1320"/>
      <c r="AJ199" s="1326" t="s">
        <v>260</v>
      </c>
      <c r="AK199" s="1328"/>
      <c r="AL199" s="1329" t="str">
        <f>AVERAGE(AL193:AL197)</f>
        <v>#DIV/0!</v>
      </c>
      <c r="AM199" s="483"/>
      <c r="AN199" s="1957"/>
      <c r="AO199" s="1957"/>
      <c r="AP199" s="1957"/>
      <c r="AQ199" s="1957"/>
      <c r="AR199" s="1963"/>
      <c r="AT199" s="1957"/>
      <c r="AU199" s="1957"/>
      <c r="AV199" s="1957"/>
      <c r="AW199" s="1957"/>
      <c r="AX199" s="1471" t="s">
        <v>262</v>
      </c>
      <c r="AY199" s="1957"/>
      <c r="AZ199" s="1957"/>
      <c r="BA199" s="1471"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7"/>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1"/>
      <c r="AO200" s="1471"/>
      <c r="AP200" s="1471"/>
      <c r="AQ200" s="1471"/>
      <c r="AR200" s="1963"/>
      <c r="AS200" s="1963"/>
      <c r="AT200" s="1471"/>
      <c r="AU200" s="1471"/>
      <c r="AV200" s="1471"/>
      <c r="AW200" s="1471"/>
      <c r="AX200" s="1471"/>
      <c r="AY200" s="1471"/>
      <c r="AZ200" s="1471"/>
      <c r="BA200" s="1471"/>
      <c r="BB200" s="1471"/>
      <c r="BC200" s="34"/>
      <c r="BD200" s="34"/>
      <c r="BE200" s="34"/>
      <c r="BF200" s="34"/>
      <c r="BG200" s="34"/>
      <c r="BH200" s="34"/>
      <c r="BI200" s="34"/>
      <c r="BJ200" s="34"/>
      <c r="BK200" s="34"/>
      <c r="BL200" s="34"/>
      <c r="BM200" s="34"/>
      <c r="BN200" s="34"/>
      <c r="BO200" s="34"/>
      <c r="BP200" s="34"/>
      <c r="BQ200" s="34"/>
      <c r="BR200" s="34"/>
    </row>
    <row r="201" ht="12.75" customHeight="1">
      <c r="A201" s="632" t="s">
        <v>263</v>
      </c>
      <c r="B201" s="632"/>
      <c r="C201" s="633"/>
      <c r="D201" s="633"/>
      <c r="E201" s="633"/>
      <c r="F201" s="633"/>
      <c r="G201" s="633"/>
      <c r="H201" s="633"/>
      <c r="I201" s="633"/>
      <c r="J201" s="547"/>
      <c r="L201" s="634" t="s">
        <v>264</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7"/>
      <c r="AO201" s="1957"/>
      <c r="AP201" s="1957"/>
      <c r="AQ201" s="1957"/>
      <c r="AR201" s="1957"/>
      <c r="AS201" s="1957"/>
      <c r="AT201" s="1957"/>
      <c r="AU201" s="1957"/>
      <c r="AV201" s="1957"/>
      <c r="AW201" s="2233" t="s">
        <v>265</v>
      </c>
      <c r="AX201" s="2234" t="s">
        <v>266</v>
      </c>
      <c r="AY201" s="2235"/>
      <c r="AZ201" s="1957"/>
      <c r="BA201" s="2234" t="s">
        <v>267</v>
      </c>
      <c r="BB201" s="2235"/>
    </row>
    <row r="202" ht="12.75" customHeight="1">
      <c r="A202" s="1333"/>
      <c r="B202" s="86"/>
      <c r="C202" s="1354" t="s">
        <v>247</v>
      </c>
      <c r="D202" s="85"/>
      <c r="E202" s="86"/>
      <c r="F202" s="1354" t="s">
        <v>248</v>
      </c>
      <c r="G202" s="85"/>
      <c r="H202" s="86"/>
      <c r="I202" s="638" t="s">
        <v>250</v>
      </c>
      <c r="J202" s="85"/>
      <c r="K202" s="86"/>
      <c r="L202" s="639" t="s">
        <v>162</v>
      </c>
      <c r="M202" s="85"/>
      <c r="N202" s="639" t="s">
        <v>163</v>
      </c>
      <c r="O202" s="85"/>
      <c r="P202" s="86"/>
      <c r="Q202" s="639" t="s">
        <v>268</v>
      </c>
      <c r="R202" s="85"/>
      <c r="S202" s="86"/>
      <c r="T202" s="639" t="s">
        <v>166</v>
      </c>
      <c r="U202" s="85"/>
      <c r="V202" s="85"/>
      <c r="W202" s="2236"/>
      <c r="X202" s="2237" t="s">
        <v>129</v>
      </c>
      <c r="Y202" s="639" t="s">
        <v>741</v>
      </c>
      <c r="Z202" s="85"/>
      <c r="AA202" s="86"/>
      <c r="AB202" s="639" t="s">
        <v>180</v>
      </c>
      <c r="AC202" s="85"/>
      <c r="AD202" s="86"/>
      <c r="AE202" s="639" t="s">
        <v>167</v>
      </c>
      <c r="AF202" s="85"/>
      <c r="AG202" s="86"/>
      <c r="AH202" s="639" t="s">
        <v>269</v>
      </c>
      <c r="AI202" s="85"/>
      <c r="AJ202" s="85"/>
      <c r="AK202" s="86"/>
      <c r="AL202" s="638" t="s">
        <v>270</v>
      </c>
      <c r="AM202" s="86"/>
      <c r="AN202" s="1957"/>
      <c r="AO202" s="1957"/>
      <c r="AP202" s="1957"/>
      <c r="AQ202" s="1957"/>
      <c r="AR202" s="1957"/>
      <c r="AS202" s="1957"/>
      <c r="AT202" s="2238" t="s">
        <v>268</v>
      </c>
      <c r="AU202" s="1963" t="s">
        <v>271</v>
      </c>
      <c r="AV202" s="1957"/>
      <c r="AW202" s="2239">
        <f>+A86</f>
        <v>7</v>
      </c>
      <c r="AX202" s="787">
        <f>VLOOKUP($AW$202,'catalogo 2'!$A$143:$C$185,3)/100</f>
        <v>0.97</v>
      </c>
      <c r="AY202" s="2240"/>
      <c r="AZ202" s="1957"/>
      <c r="BA202" s="2241">
        <f>+A86</f>
        <v>7</v>
      </c>
      <c r="BB202" s="2242"/>
    </row>
    <row r="203" ht="12.75" customHeight="1">
      <c r="A203" s="1334">
        <v>1.0</v>
      </c>
      <c r="B203" s="512"/>
      <c r="C203" s="646">
        <f t="shared" ref="C203:C207" si="46">C193</f>
        <v>117</v>
      </c>
      <c r="D203" s="255"/>
      <c r="E203" s="253"/>
      <c r="F203" s="646">
        <f t="shared" ref="F203:F207" si="47">F193</f>
        <v>71</v>
      </c>
      <c r="G203" s="255"/>
      <c r="H203" s="253"/>
      <c r="I203" s="658" t="str">
        <f t="shared" ref="I203:I207" si="48">+AL193</f>
        <v>#DIV/0!</v>
      </c>
      <c r="J203" s="582"/>
      <c r="K203" s="524"/>
      <c r="L203" s="2243">
        <v>1.0</v>
      </c>
      <c r="M203" s="2244"/>
      <c r="N203" s="2243">
        <v>1.0</v>
      </c>
      <c r="O203" s="567"/>
      <c r="P203" s="512"/>
      <c r="Q203" s="649" t="str">
        <f t="shared" ref="Q203:Q207" si="49">+AT203</f>
        <v>#DIV/0!</v>
      </c>
      <c r="R203" s="255"/>
      <c r="S203" s="253"/>
      <c r="T203" s="650">
        <f t="shared" ref="T203:T207" si="50">+AU203</f>
        <v>0</v>
      </c>
      <c r="U203" s="567"/>
      <c r="V203" s="567"/>
      <c r="W203" s="2245"/>
      <c r="X203" s="2246">
        <f t="shared" ref="X203:X207" si="51">+$AX$202/AX203</f>
        <v>1.2125</v>
      </c>
      <c r="Y203" s="2247">
        <v>1.0</v>
      </c>
      <c r="Z203" s="255"/>
      <c r="AA203" s="253"/>
      <c r="AB203" s="2247">
        <v>1.0</v>
      </c>
      <c r="AC203" s="255"/>
      <c r="AD203" s="253"/>
      <c r="AE203" s="2248">
        <v>0.95</v>
      </c>
      <c r="AF203" s="255"/>
      <c r="AG203" s="253"/>
      <c r="AH203" s="649" t="str">
        <f t="shared" ref="AH203:AH207" si="52">ROUND(L203*N203*Q203*T203*X203*Y203*AB203*AE203,2)</f>
        <v>#DIV/0!</v>
      </c>
      <c r="AI203" s="255"/>
      <c r="AJ203" s="255"/>
      <c r="AK203" s="253"/>
      <c r="AL203" s="652" t="str">
        <f t="shared" ref="AL203:AL207" si="53">+I203*AH203</f>
        <v>#DIV/0!</v>
      </c>
      <c r="AM203" s="253"/>
      <c r="AN203" s="1957"/>
      <c r="AO203" s="1957"/>
      <c r="AP203" s="1957"/>
      <c r="AQ203" s="2249"/>
      <c r="AR203" s="2249"/>
      <c r="AS203" s="2250">
        <v>6.0</v>
      </c>
      <c r="AT203" s="2251" t="str">
        <f>(R193/P193)^(1/$AS$203)</f>
        <v>#DIV/0!</v>
      </c>
      <c r="AU203" s="2251">
        <f t="shared" ref="AU203:AU207" si="54">($C$111/C193)^(1/$AS$203)</f>
        <v>0</v>
      </c>
      <c r="AV203" s="1957"/>
      <c r="AW203" s="1957"/>
      <c r="AX203" s="794">
        <f>VLOOKUP(Mercado!L30,'catalogo 2'!$A$143:$C$185,3)/100</f>
        <v>0.8</v>
      </c>
      <c r="AY203" s="2252"/>
      <c r="AZ203" s="1957"/>
      <c r="BA203" s="2253">
        <f>VLOOKUP(Mercado!L30,'catalogo 2'!$A$2:$C$7,3)/100</f>
        <v>0.75</v>
      </c>
      <c r="BB203" s="2252"/>
    </row>
    <row r="204" ht="12.75" customHeight="1">
      <c r="A204" s="1338">
        <v>2.0</v>
      </c>
      <c r="B204" s="524"/>
      <c r="C204" s="657">
        <f t="shared" si="46"/>
        <v>276</v>
      </c>
      <c r="D204" s="582"/>
      <c r="E204" s="524"/>
      <c r="F204" s="657">
        <f t="shared" si="47"/>
        <v>193</v>
      </c>
      <c r="G204" s="582"/>
      <c r="H204" s="524"/>
      <c r="I204" s="658" t="str">
        <f t="shared" si="48"/>
        <v>#DIV/0!</v>
      </c>
      <c r="J204" s="582"/>
      <c r="K204" s="524"/>
      <c r="L204" s="2254">
        <v>1.0</v>
      </c>
      <c r="M204" s="2255"/>
      <c r="N204" s="2254">
        <v>1.0</v>
      </c>
      <c r="O204" s="582"/>
      <c r="P204" s="524"/>
      <c r="Q204" s="659" t="str">
        <f t="shared" si="49"/>
        <v>#DIV/0!</v>
      </c>
      <c r="R204" s="582"/>
      <c r="S204" s="524"/>
      <c r="T204" s="659">
        <f t="shared" si="50"/>
        <v>0</v>
      </c>
      <c r="U204" s="582"/>
      <c r="V204" s="582"/>
      <c r="W204" s="2256"/>
      <c r="X204" s="2257">
        <f t="shared" si="51"/>
        <v>1.141176471</v>
      </c>
      <c r="Y204" s="2254">
        <v>1.0</v>
      </c>
      <c r="Z204" s="582"/>
      <c r="AA204" s="524"/>
      <c r="AB204" s="2254">
        <v>1.0</v>
      </c>
      <c r="AC204" s="582"/>
      <c r="AD204" s="524"/>
      <c r="AE204" s="666">
        <f t="shared" ref="AE204:AE207" si="55">+AE203</f>
        <v>0.95</v>
      </c>
      <c r="AF204" s="582"/>
      <c r="AG204" s="524"/>
      <c r="AH204" s="660" t="str">
        <f t="shared" si="52"/>
        <v>#DIV/0!</v>
      </c>
      <c r="AI204" s="661"/>
      <c r="AJ204" s="661"/>
      <c r="AK204" s="662"/>
      <c r="AL204" s="667" t="str">
        <f t="shared" si="53"/>
        <v>#DIV/0!</v>
      </c>
      <c r="AM204" s="524"/>
      <c r="AN204" s="1957"/>
      <c r="AO204" s="1957"/>
      <c r="AP204" s="1957"/>
      <c r="AQ204" s="1957"/>
      <c r="AR204" s="1957"/>
      <c r="AS204" s="2250">
        <f t="shared" ref="AS204:AS207" si="56">+AS203</f>
        <v>6</v>
      </c>
      <c r="AT204" s="2258" t="str">
        <f t="shared" ref="AT204:AT207" si="57">(R194/P194)^(1/AS204)</f>
        <v>#DIV/0!</v>
      </c>
      <c r="AU204" s="2258">
        <f t="shared" si="54"/>
        <v>0</v>
      </c>
      <c r="AV204" s="1957"/>
      <c r="AW204" s="1957"/>
      <c r="AX204" s="794">
        <f>VLOOKUP(Mercado!L31,'catalogo 2'!$A$143:$C$185,3)/100</f>
        <v>0.85</v>
      </c>
      <c r="AY204" s="2252"/>
      <c r="AZ204" s="1957"/>
      <c r="BA204" s="2253">
        <f>VLOOKUP(Mercado!L31,'catalogo 2'!$A$2:$C$7,3)/100</f>
        <v>0.8</v>
      </c>
      <c r="BB204" s="2252"/>
    </row>
    <row r="205" ht="12.75" customHeight="1">
      <c r="A205" s="1338">
        <v>3.0</v>
      </c>
      <c r="B205" s="524"/>
      <c r="C205" s="657">
        <f t="shared" si="46"/>
        <v>140</v>
      </c>
      <c r="D205" s="582"/>
      <c r="E205" s="524"/>
      <c r="F205" s="657">
        <f t="shared" si="47"/>
        <v>103</v>
      </c>
      <c r="G205" s="582"/>
      <c r="H205" s="524"/>
      <c r="I205" s="658" t="str">
        <f t="shared" si="48"/>
        <v>#DIV/0!</v>
      </c>
      <c r="J205" s="582"/>
      <c r="K205" s="524"/>
      <c r="L205" s="2254">
        <v>1.0</v>
      </c>
      <c r="M205" s="2255"/>
      <c r="N205" s="2254">
        <v>1.0</v>
      </c>
      <c r="O205" s="582"/>
      <c r="P205" s="524"/>
      <c r="Q205" s="659" t="str">
        <f t="shared" si="49"/>
        <v>#DIV/0!</v>
      </c>
      <c r="R205" s="582"/>
      <c r="S205" s="524"/>
      <c r="T205" s="659">
        <f t="shared" si="50"/>
        <v>0</v>
      </c>
      <c r="U205" s="582"/>
      <c r="V205" s="582"/>
      <c r="W205" s="2256"/>
      <c r="X205" s="2257">
        <f t="shared" si="51"/>
        <v>1</v>
      </c>
      <c r="Y205" s="2254">
        <v>1.0</v>
      </c>
      <c r="Z205" s="582"/>
      <c r="AA205" s="524"/>
      <c r="AB205" s="2254">
        <v>1.0</v>
      </c>
      <c r="AC205" s="582"/>
      <c r="AD205" s="524"/>
      <c r="AE205" s="666">
        <f t="shared" si="55"/>
        <v>0.95</v>
      </c>
      <c r="AF205" s="582"/>
      <c r="AG205" s="524"/>
      <c r="AH205" s="659" t="str">
        <f t="shared" si="52"/>
        <v>#DIV/0!</v>
      </c>
      <c r="AI205" s="582"/>
      <c r="AJ205" s="582"/>
      <c r="AK205" s="524"/>
      <c r="AL205" s="667" t="str">
        <f t="shared" si="53"/>
        <v>#DIV/0!</v>
      </c>
      <c r="AM205" s="524"/>
      <c r="AN205" s="1957"/>
      <c r="AO205" s="1963"/>
      <c r="AS205" s="2250">
        <f t="shared" si="56"/>
        <v>6</v>
      </c>
      <c r="AT205" s="2258" t="str">
        <f t="shared" si="57"/>
        <v>#DIV/0!</v>
      </c>
      <c r="AU205" s="2258">
        <f t="shared" si="54"/>
        <v>0</v>
      </c>
      <c r="AV205" s="1957"/>
      <c r="AW205" s="1957"/>
      <c r="AX205" s="794">
        <f>VLOOKUP(Mercado!L32,'catalogo 2'!$A$143:$C$185,3)/100</f>
        <v>0.97</v>
      </c>
      <c r="AY205" s="2252"/>
      <c r="AZ205" s="1957"/>
      <c r="BA205" s="2253">
        <f>VLOOKUP(Mercado!L32,'catalogo 2'!$A$2:$C$7,3)/100</f>
        <v>0.95</v>
      </c>
      <c r="BB205" s="2252"/>
    </row>
    <row r="206" ht="12.75" customHeight="1">
      <c r="A206" s="1338">
        <v>4.0</v>
      </c>
      <c r="B206" s="524"/>
      <c r="C206" s="657">
        <f t="shared" si="46"/>
        <v>314</v>
      </c>
      <c r="D206" s="582"/>
      <c r="E206" s="524"/>
      <c r="F206" s="657">
        <f t="shared" si="47"/>
        <v>201</v>
      </c>
      <c r="G206" s="582"/>
      <c r="H206" s="524"/>
      <c r="I206" s="658" t="str">
        <f t="shared" si="48"/>
        <v>#DIV/0!</v>
      </c>
      <c r="J206" s="582"/>
      <c r="K206" s="524"/>
      <c r="L206" s="2254">
        <v>1.0</v>
      </c>
      <c r="M206" s="2255"/>
      <c r="N206" s="2254">
        <v>1.0</v>
      </c>
      <c r="O206" s="582"/>
      <c r="P206" s="524"/>
      <c r="Q206" s="659" t="str">
        <f t="shared" si="49"/>
        <v>#DIV/0!</v>
      </c>
      <c r="R206" s="582"/>
      <c r="S206" s="524"/>
      <c r="T206" s="659">
        <f t="shared" si="50"/>
        <v>0</v>
      </c>
      <c r="U206" s="582"/>
      <c r="V206" s="582"/>
      <c r="W206" s="2256"/>
      <c r="X206" s="2257">
        <f t="shared" si="51"/>
        <v>1.2125</v>
      </c>
      <c r="Y206" s="2254">
        <v>1.0</v>
      </c>
      <c r="Z206" s="582"/>
      <c r="AA206" s="524"/>
      <c r="AB206" s="2254">
        <v>1.0</v>
      </c>
      <c r="AC206" s="582"/>
      <c r="AD206" s="524"/>
      <c r="AE206" s="666">
        <f t="shared" si="55"/>
        <v>0.95</v>
      </c>
      <c r="AF206" s="582"/>
      <c r="AG206" s="524"/>
      <c r="AH206" s="660" t="str">
        <f t="shared" si="52"/>
        <v>#DIV/0!</v>
      </c>
      <c r="AI206" s="661"/>
      <c r="AJ206" s="661"/>
      <c r="AK206" s="662"/>
      <c r="AL206" s="667" t="str">
        <f t="shared" si="53"/>
        <v>#DIV/0!</v>
      </c>
      <c r="AM206" s="524"/>
      <c r="AN206" s="1957"/>
      <c r="AO206" s="1963"/>
      <c r="AS206" s="2250">
        <f t="shared" si="56"/>
        <v>6</v>
      </c>
      <c r="AT206" s="2258" t="str">
        <f t="shared" si="57"/>
        <v>#DIV/0!</v>
      </c>
      <c r="AU206" s="2258">
        <f t="shared" si="54"/>
        <v>0</v>
      </c>
      <c r="AV206" s="1957"/>
      <c r="AW206" s="1957"/>
      <c r="AX206" s="794">
        <f>VLOOKUP(Mercado!L33,'catalogo 2'!$A$143:$C$185,3)/100</f>
        <v>0.8</v>
      </c>
      <c r="AY206" s="2252"/>
      <c r="AZ206" s="1957"/>
      <c r="BA206" s="2253">
        <f>VLOOKUP(Mercado!L33,'catalogo 2'!$A$2:$C$7,3)/100</f>
        <v>0.75</v>
      </c>
      <c r="BB206" s="2252"/>
    </row>
    <row r="207" ht="12.75" customHeight="1">
      <c r="A207" s="1341">
        <v>5.0</v>
      </c>
      <c r="B207" s="1342"/>
      <c r="C207" s="672">
        <f t="shared" si="46"/>
        <v>175</v>
      </c>
      <c r="D207" s="604"/>
      <c r="E207" s="596"/>
      <c r="F207" s="672">
        <f t="shared" si="47"/>
        <v>158</v>
      </c>
      <c r="G207" s="604"/>
      <c r="H207" s="596"/>
      <c r="I207" s="673" t="str">
        <f t="shared" si="48"/>
        <v>#DIV/0!</v>
      </c>
      <c r="J207" s="604"/>
      <c r="K207" s="596"/>
      <c r="L207" s="2259">
        <v>1.0</v>
      </c>
      <c r="M207" s="596"/>
      <c r="N207" s="2259">
        <v>1.0</v>
      </c>
      <c r="O207" s="604"/>
      <c r="P207" s="596"/>
      <c r="Q207" s="674" t="str">
        <f t="shared" si="49"/>
        <v>#DIV/0!</v>
      </c>
      <c r="R207" s="604"/>
      <c r="S207" s="596"/>
      <c r="T207" s="674">
        <f t="shared" si="50"/>
        <v>0</v>
      </c>
      <c r="U207" s="604"/>
      <c r="V207" s="604"/>
      <c r="W207" s="2260"/>
      <c r="X207" s="2261">
        <f t="shared" si="51"/>
        <v>1.2125</v>
      </c>
      <c r="Y207" s="2259">
        <v>1.0</v>
      </c>
      <c r="Z207" s="604"/>
      <c r="AA207" s="596"/>
      <c r="AB207" s="2259">
        <v>1.0</v>
      </c>
      <c r="AC207" s="604"/>
      <c r="AD207" s="596"/>
      <c r="AE207" s="675">
        <f t="shared" si="55"/>
        <v>0.95</v>
      </c>
      <c r="AF207" s="604"/>
      <c r="AG207" s="596"/>
      <c r="AH207" s="674" t="str">
        <f t="shared" si="52"/>
        <v>#DIV/0!</v>
      </c>
      <c r="AI207" s="604"/>
      <c r="AJ207" s="604"/>
      <c r="AK207" s="596"/>
      <c r="AL207" s="676" t="str">
        <f t="shared" si="53"/>
        <v>#DIV/0!</v>
      </c>
      <c r="AM207" s="596"/>
      <c r="AN207" s="1957"/>
      <c r="AO207" s="1963"/>
      <c r="AS207" s="2250">
        <f t="shared" si="56"/>
        <v>6</v>
      </c>
      <c r="AT207" s="2262" t="str">
        <f t="shared" si="57"/>
        <v>#DIV/0!</v>
      </c>
      <c r="AU207" s="2262">
        <f t="shared" si="54"/>
        <v>0</v>
      </c>
      <c r="AV207" s="1957"/>
      <c r="AW207" s="1957"/>
      <c r="AX207" s="794">
        <f>VLOOKUP(Mercado!L34,'catalogo 2'!$A$143:$C$185,3)/100</f>
        <v>0.8</v>
      </c>
      <c r="AY207" s="2263"/>
      <c r="AZ207" s="1957"/>
      <c r="BA207" s="2264">
        <f>VLOOKUP(Mercado!L34,'catalogo 2'!$A$2:$C$7,3)/100</f>
        <v>0.75</v>
      </c>
      <c r="BB207" s="2263"/>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5"/>
      <c r="AC208" s="2265"/>
      <c r="AD208" s="2265"/>
      <c r="AE208" s="685"/>
      <c r="AF208" s="685"/>
      <c r="AG208" s="685"/>
      <c r="AH208" s="682" t="s">
        <v>104</v>
      </c>
      <c r="AI208" s="682"/>
      <c r="AJ208" s="682"/>
      <c r="AK208" s="682"/>
      <c r="AL208" s="686"/>
      <c r="AM208" s="686"/>
      <c r="AN208" s="1957"/>
      <c r="AO208" s="1957"/>
      <c r="AP208" s="1957"/>
      <c r="AQ208" s="1957"/>
      <c r="AR208" s="1957"/>
      <c r="AS208" s="1957"/>
      <c r="AT208" s="1957"/>
      <c r="AU208" s="1957"/>
      <c r="AV208" s="1957"/>
      <c r="AW208" s="1957"/>
      <c r="AX208" s="2266" t="str">
        <f>VLOOKUP(Mercado!#REF!,'catalogo 2'!A7:C12,3)/100</f>
        <v>#ERROR!</v>
      </c>
      <c r="AY208" s="1957"/>
      <c r="AZ208" s="1957"/>
      <c r="BA208" s="1957"/>
      <c r="BB208" s="1957"/>
    </row>
    <row r="209" ht="19.5" customHeight="1">
      <c r="A209" s="688"/>
      <c r="B209" s="688"/>
      <c r="C209" s="689"/>
      <c r="D209" s="689"/>
      <c r="E209" s="34"/>
      <c r="F209" s="690"/>
      <c r="G209" s="690"/>
      <c r="H209" s="1349" t="s">
        <v>259</v>
      </c>
      <c r="I209" s="1735" t="str">
        <f>AVERAGE(I203:I207)</f>
        <v>#DIV/0!</v>
      </c>
      <c r="J209" s="482"/>
      <c r="K209" s="483"/>
      <c r="L209" s="693" t="s">
        <v>272</v>
      </c>
      <c r="M209" s="693"/>
      <c r="N209" s="34"/>
      <c r="O209" s="2267" t="s">
        <v>273</v>
      </c>
      <c r="P209" s="467"/>
      <c r="Q209" s="467"/>
      <c r="R209" s="467"/>
      <c r="S209" s="467"/>
      <c r="T209" s="467"/>
      <c r="U209" s="467"/>
      <c r="V209" s="467"/>
      <c r="W209" s="467"/>
      <c r="X209" s="467"/>
      <c r="Y209" s="467"/>
      <c r="Z209" s="467"/>
      <c r="AA209" s="467"/>
      <c r="AB209" s="467"/>
      <c r="AC209" s="467"/>
      <c r="AD209" s="467"/>
      <c r="AE209" s="467"/>
      <c r="AF209" s="467"/>
      <c r="AG209" s="695"/>
      <c r="AH209" s="1349" t="s">
        <v>259</v>
      </c>
      <c r="AL209" s="696" t="str">
        <f>AVERAGE(AL203:AL208)</f>
        <v>#DIV/0!</v>
      </c>
      <c r="AM209" s="483"/>
      <c r="AN209" s="1957"/>
      <c r="AO209" s="1963"/>
      <c r="AS209" s="1957"/>
      <c r="AT209" s="1957"/>
      <c r="AU209" s="1957"/>
      <c r="AV209" s="1957"/>
      <c r="AW209" s="1957"/>
      <c r="AX209" s="1957"/>
      <c r="AY209" s="1957"/>
      <c r="AZ209" s="1957"/>
      <c r="BA209" s="1957"/>
      <c r="BB209" s="1957"/>
    </row>
    <row r="210" ht="12.0" customHeight="1">
      <c r="A210" s="34"/>
      <c r="B210" s="34"/>
      <c r="C210" s="697" t="s">
        <v>274</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7"/>
      <c r="AO210" s="1957"/>
      <c r="AP210" s="1957"/>
      <c r="AQ210" s="1957"/>
      <c r="AR210" s="1957"/>
      <c r="AS210" s="1957"/>
      <c r="AT210" s="1957"/>
      <c r="AU210" s="1957"/>
      <c r="AV210" s="1957"/>
      <c r="AW210" s="1957"/>
      <c r="AX210" s="1957"/>
      <c r="AY210" s="1957"/>
      <c r="AZ210" s="1957"/>
      <c r="BA210" s="1957"/>
      <c r="BB210" s="1957"/>
    </row>
    <row r="211" ht="13.5" customHeight="1">
      <c r="A211" s="34"/>
      <c r="B211" s="34"/>
      <c r="C211" s="700" t="s">
        <v>275</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7"/>
      <c r="AO211" s="1963"/>
      <c r="AS211" s="1957"/>
      <c r="AT211" s="1957"/>
      <c r="AU211" s="1957"/>
      <c r="AV211" s="1957"/>
      <c r="AW211" s="1957"/>
      <c r="AX211" s="1957"/>
      <c r="AY211" s="1957"/>
      <c r="AZ211" s="1957"/>
      <c r="BA211" s="1957"/>
      <c r="BB211" s="1957"/>
    </row>
    <row r="212" ht="12.75" customHeight="1">
      <c r="A212" s="815"/>
      <c r="B212" s="396"/>
      <c r="C212" s="816" t="s">
        <v>276</v>
      </c>
      <c r="D212" s="817"/>
      <c r="E212" s="1744" t="str">
        <f>MIN(AL203:AL207)</f>
        <v>#DIV/0!</v>
      </c>
      <c r="F212" s="85"/>
      <c r="G212" s="85"/>
      <c r="H212" s="86"/>
      <c r="I212" s="822" t="s">
        <v>277</v>
      </c>
      <c r="J212" s="702"/>
      <c r="K212" s="713"/>
      <c r="L212" s="713"/>
      <c r="M212" s="713"/>
      <c r="N212" s="713"/>
      <c r="O212" s="701"/>
      <c r="P212" s="701"/>
      <c r="Q212" s="703"/>
      <c r="R212" s="714"/>
      <c r="S212" s="703"/>
      <c r="T212" s="703"/>
      <c r="U212" s="703"/>
      <c r="V212" s="703"/>
      <c r="W212" s="703"/>
      <c r="X212" s="703"/>
      <c r="Y212" s="716" t="s">
        <v>278</v>
      </c>
      <c r="Z212" s="1747" t="str">
        <f>AL209</f>
        <v>#DIV/0!</v>
      </c>
      <c r="AA212" s="85"/>
      <c r="AB212" s="85"/>
      <c r="AC212" s="85"/>
      <c r="AD212" s="86"/>
      <c r="AE212" s="822" t="s">
        <v>277</v>
      </c>
      <c r="AF212" s="703"/>
      <c r="AG212" s="703"/>
      <c r="AH212" s="703"/>
      <c r="AI212" s="703"/>
      <c r="AJ212" s="703"/>
      <c r="AK212" s="703"/>
      <c r="AL212" s="703"/>
      <c r="AM212" s="703"/>
      <c r="AN212" s="1957"/>
      <c r="AO212" s="1957"/>
      <c r="AP212" s="1957"/>
      <c r="AQ212" s="1957"/>
      <c r="AR212" s="1957"/>
      <c r="AS212" s="1957"/>
      <c r="AT212" s="1957"/>
      <c r="AU212" s="1957"/>
      <c r="AV212" s="1957"/>
      <c r="AW212" s="1957"/>
      <c r="AX212" s="1957"/>
      <c r="AY212" s="1957"/>
      <c r="AZ212" s="1957"/>
      <c r="BA212" s="1957"/>
      <c r="BB212" s="1957"/>
    </row>
    <row r="213" ht="12.75" customHeight="1">
      <c r="A213" s="470"/>
      <c r="B213" s="34"/>
      <c r="C213" s="823" t="s">
        <v>259</v>
      </c>
      <c r="D213" s="817"/>
      <c r="E213" s="1744" t="str">
        <f>AL209</f>
        <v>#DIV/0!</v>
      </c>
      <c r="F213" s="85"/>
      <c r="G213" s="85"/>
      <c r="H213" s="86"/>
      <c r="I213" s="822" t="s">
        <v>277</v>
      </c>
      <c r="J213" s="702"/>
      <c r="K213" s="713"/>
      <c r="L213" s="713"/>
      <c r="M213" s="713"/>
      <c r="N213" s="713"/>
      <c r="O213" s="701"/>
      <c r="P213" s="701"/>
      <c r="Q213" s="703"/>
      <c r="R213" s="714"/>
      <c r="S213" s="703"/>
      <c r="T213" s="703"/>
      <c r="U213" s="703"/>
      <c r="V213" s="703"/>
      <c r="W213" s="703"/>
      <c r="X213" s="703"/>
      <c r="Y213" s="716" t="s">
        <v>280</v>
      </c>
      <c r="Z213" s="1749">
        <f>'OPI Rentas'!K123</f>
        <v>0</v>
      </c>
      <c r="AA213" s="85"/>
      <c r="AB213" s="85"/>
      <c r="AC213" s="85"/>
      <c r="AD213" s="86"/>
      <c r="AE213" s="701"/>
      <c r="AF213" s="703"/>
      <c r="AG213" s="703"/>
      <c r="AH213" s="703"/>
      <c r="AI213" s="703"/>
      <c r="AJ213" s="703"/>
      <c r="AK213" s="703"/>
      <c r="AL213" s="703"/>
      <c r="AM213" s="703"/>
      <c r="AN213" s="1957"/>
      <c r="AO213" s="1957"/>
      <c r="AP213" s="1957"/>
      <c r="AQ213" s="1957"/>
      <c r="AR213" s="1957"/>
      <c r="AS213" s="1957"/>
      <c r="AT213" s="1957"/>
      <c r="AU213" s="1957"/>
      <c r="AV213" s="1957"/>
      <c r="AW213" s="1957"/>
      <c r="AX213" s="1957"/>
      <c r="AY213" s="1957"/>
      <c r="AZ213" s="1957"/>
      <c r="BA213" s="1957"/>
      <c r="BB213" s="1957"/>
    </row>
    <row r="214" ht="10.5" customHeight="1">
      <c r="A214" s="825"/>
      <c r="B214" s="244"/>
      <c r="C214" s="826" t="s">
        <v>281</v>
      </c>
      <c r="D214" s="817"/>
      <c r="E214" s="1751" t="str">
        <f>MAX(AL203:AL207)</f>
        <v>#DIV/0!</v>
      </c>
      <c r="F214" s="85"/>
      <c r="G214" s="85"/>
      <c r="H214" s="86"/>
      <c r="I214" s="822" t="s">
        <v>277</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8"/>
      <c r="AK214" s="2268"/>
      <c r="AL214" s="2268"/>
      <c r="AM214" s="2268"/>
      <c r="AN214" s="1957"/>
      <c r="AO214" s="1957"/>
      <c r="AP214" s="1957"/>
      <c r="AQ214" s="1957"/>
      <c r="AR214" s="1957"/>
      <c r="AS214" s="1957"/>
      <c r="AT214" s="1957"/>
      <c r="AU214" s="1957"/>
      <c r="AV214" s="1957"/>
      <c r="AW214" s="1957"/>
      <c r="AX214" s="1957"/>
      <c r="AY214" s="1957"/>
      <c r="AZ214" s="1957"/>
      <c r="BA214" s="1957"/>
      <c r="BB214" s="1957"/>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69" t="s">
        <v>282</v>
      </c>
      <c r="AJ215" s="2270" t="str">
        <f>Z212*Z213</f>
        <v>#DIV/0!</v>
      </c>
      <c r="AK215" s="482"/>
      <c r="AL215" s="482"/>
      <c r="AM215" s="483"/>
      <c r="AN215" s="1957"/>
      <c r="AO215" s="1957"/>
      <c r="AP215" s="1957"/>
      <c r="AQ215" s="1957"/>
      <c r="AR215" s="1957"/>
      <c r="AS215" s="1957"/>
      <c r="AT215" s="1957"/>
      <c r="AU215" s="1957"/>
      <c r="AV215" s="1957"/>
      <c r="AW215" s="1957"/>
      <c r="AX215" s="1957"/>
      <c r="AY215" s="1957"/>
      <c r="AZ215" s="1957"/>
      <c r="BA215" s="1957"/>
      <c r="BB215" s="1957"/>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7"/>
      <c r="AO216" s="1957"/>
      <c r="AP216" s="1957"/>
      <c r="AQ216" s="1957"/>
      <c r="AR216" s="1957"/>
      <c r="AS216" s="1957"/>
      <c r="AT216" s="1957"/>
      <c r="AU216" s="1957"/>
      <c r="AV216" s="1957"/>
      <c r="AW216" s="1957"/>
      <c r="AX216" s="1957"/>
      <c r="AY216" s="1957"/>
      <c r="AZ216" s="1957"/>
      <c r="BA216" s="1957"/>
      <c r="BB216" s="1957"/>
    </row>
    <row r="217" ht="12.75" customHeight="1">
      <c r="A217" s="733" t="s">
        <v>283</v>
      </c>
      <c r="B217" s="34"/>
      <c r="D217" s="733"/>
      <c r="E217" s="124"/>
      <c r="F217" s="699"/>
      <c r="G217" s="699"/>
      <c r="H217" s="698"/>
      <c r="I217" s="698"/>
      <c r="J217" s="698"/>
      <c r="K217" s="698"/>
      <c r="L217" s="699"/>
      <c r="M217" s="699"/>
      <c r="N217" s="699"/>
      <c r="P217" s="699"/>
      <c r="R217" s="699"/>
      <c r="S217" s="698"/>
      <c r="T217" s="699"/>
      <c r="U217" s="699"/>
      <c r="V217" s="699"/>
      <c r="W217" s="2271" t="s">
        <v>742</v>
      </c>
      <c r="X217" s="699"/>
      <c r="Y217" s="699"/>
      <c r="Z217" s="699"/>
      <c r="AA217" s="699"/>
      <c r="AB217" s="699"/>
      <c r="AD217" s="699"/>
      <c r="AE217" s="699"/>
      <c r="AF217" s="34"/>
      <c r="AG217" s="2272">
        <f>'Analisis Avance O.'!B50</f>
        <v>1</v>
      </c>
      <c r="AI217" s="34"/>
      <c r="AJ217" s="2273" t="str">
        <f>AJ215*AG217</f>
        <v>#DIV/0!</v>
      </c>
      <c r="AK217" s="2274"/>
      <c r="AL217" s="2274"/>
      <c r="AM217" s="2275"/>
      <c r="AN217" s="1957"/>
      <c r="AO217" s="2276" t="s">
        <v>104</v>
      </c>
      <c r="AP217" s="2276"/>
      <c r="AQ217" s="1957"/>
      <c r="AR217" s="1957"/>
      <c r="AS217" s="1957"/>
      <c r="AT217" s="1957"/>
      <c r="AU217" s="1957"/>
      <c r="AV217" s="1957"/>
      <c r="AW217" s="1957"/>
      <c r="AX217" s="1957"/>
      <c r="AY217" s="1957"/>
      <c r="AZ217" s="1957"/>
      <c r="BA217" s="1957"/>
      <c r="BB217" s="1957"/>
    </row>
    <row r="218" ht="12.75" customHeight="1">
      <c r="A218" s="832" t="s">
        <v>743</v>
      </c>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1957"/>
      <c r="AO218" s="2277"/>
      <c r="AP218" s="2278"/>
      <c r="AQ218" s="1957"/>
      <c r="AR218" s="1957"/>
      <c r="AS218" s="1957"/>
      <c r="AT218" s="1957"/>
      <c r="AU218" s="1957"/>
      <c r="AV218" s="1957"/>
      <c r="AW218" s="1957"/>
      <c r="AX218" s="1957"/>
      <c r="AY218" s="1957"/>
      <c r="AZ218" s="1957"/>
      <c r="BA218" s="1957"/>
      <c r="BB218" s="1957"/>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7"/>
      <c r="AO219" s="2277"/>
      <c r="AP219" s="2278"/>
      <c r="AQ219" s="1957"/>
      <c r="AR219" s="1957"/>
      <c r="AS219" s="1957"/>
      <c r="AT219" s="1957"/>
      <c r="AU219" s="1957"/>
      <c r="AV219" s="1957"/>
      <c r="AW219" s="1957"/>
      <c r="AX219" s="1957"/>
      <c r="AY219" s="1957"/>
      <c r="AZ219" s="1957"/>
      <c r="BA219" s="1957"/>
      <c r="BB219" s="1957"/>
    </row>
    <row r="220" ht="11.25" customHeight="1">
      <c r="A220" s="736" t="s">
        <v>285</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7"/>
      <c r="AO220" s="1957"/>
      <c r="AP220" s="1957"/>
      <c r="AQ220" s="1957"/>
      <c r="AR220" s="1957"/>
      <c r="AS220" s="1957"/>
      <c r="AT220" s="1957"/>
      <c r="AU220" s="1957"/>
      <c r="AV220" s="1957"/>
      <c r="AW220" s="1957"/>
      <c r="AX220" s="1957"/>
      <c r="AY220" s="1957"/>
      <c r="AZ220" s="1957"/>
      <c r="BA220" s="1957"/>
      <c r="BB220" s="1957"/>
    </row>
    <row r="221" ht="12.75" customHeight="1">
      <c r="A221" s="494" t="s">
        <v>286</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7"/>
      <c r="AO221" s="1957"/>
      <c r="AP221" s="1957"/>
      <c r="AQ221" s="1957"/>
      <c r="AR221" s="1957"/>
      <c r="AS221" s="1957"/>
      <c r="AT221" s="1957"/>
      <c r="AU221" s="1957"/>
      <c r="AV221" s="1957"/>
      <c r="AW221" s="1957"/>
      <c r="AX221" s="1957"/>
      <c r="AY221" s="1957"/>
      <c r="AZ221" s="1957"/>
      <c r="BA221" s="1957"/>
      <c r="BB221" s="1957"/>
    </row>
    <row r="222" ht="12.75" customHeight="1">
      <c r="A222" s="738" t="s">
        <v>287</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7"/>
      <c r="AO222" s="1957"/>
      <c r="AP222" s="1957"/>
      <c r="AQ222" s="1957"/>
      <c r="AR222" s="1957"/>
      <c r="AS222" s="1957"/>
      <c r="AT222" s="1957"/>
      <c r="AU222" s="1957"/>
      <c r="AV222" s="1957"/>
      <c r="AW222" s="1957"/>
      <c r="AX222" s="1957"/>
      <c r="AY222" s="1957"/>
      <c r="AZ222" s="1957"/>
      <c r="BA222" s="1957"/>
      <c r="BB222" s="1957"/>
    </row>
    <row r="223" ht="12.75" customHeight="1">
      <c r="A223" s="740"/>
      <c r="B223" s="740"/>
      <c r="C223" s="1372" t="s">
        <v>288</v>
      </c>
      <c r="AN223" s="1957"/>
      <c r="AO223" s="1957"/>
      <c r="AP223" s="1957"/>
      <c r="AQ223" s="1957"/>
      <c r="AR223" s="1957"/>
      <c r="AS223" s="1957"/>
      <c r="AT223" s="1957"/>
      <c r="AU223" s="1957"/>
      <c r="AV223" s="1957"/>
      <c r="AW223" s="1957"/>
      <c r="AX223" s="1957"/>
      <c r="AY223" s="1957"/>
      <c r="AZ223" s="1957"/>
      <c r="BA223" s="1957"/>
      <c r="BB223" s="1957"/>
    </row>
    <row r="224" ht="12.75" customHeight="1">
      <c r="A224" s="740"/>
      <c r="B224" s="740"/>
      <c r="AN224" s="1957"/>
      <c r="AO224" s="1957"/>
      <c r="AP224" s="1957"/>
      <c r="AQ224" s="1957"/>
      <c r="AR224" s="1957"/>
      <c r="AS224" s="1957"/>
      <c r="AT224" s="1957"/>
      <c r="AU224" s="1957"/>
      <c r="AV224" s="1957"/>
      <c r="AW224" s="1957"/>
      <c r="AX224" s="1957"/>
      <c r="AY224" s="1957"/>
      <c r="AZ224" s="1957"/>
      <c r="BA224" s="1957"/>
      <c r="BB224" s="1957"/>
    </row>
    <row r="225" ht="12.75" customHeight="1">
      <c r="A225" s="740"/>
      <c r="B225" s="740"/>
      <c r="AN225" s="1957"/>
      <c r="AO225" s="1957"/>
      <c r="AP225" s="1957"/>
      <c r="AQ225" s="1957"/>
      <c r="AR225" s="1957"/>
      <c r="AS225" s="1957"/>
      <c r="AT225" s="1957"/>
      <c r="AU225" s="1957"/>
      <c r="AV225" s="1957"/>
      <c r="AW225" s="1957"/>
      <c r="AX225" s="1957"/>
      <c r="AY225" s="1957"/>
      <c r="AZ225" s="1957"/>
      <c r="BA225" s="1957"/>
      <c r="BB225" s="1957"/>
    </row>
    <row r="226" ht="12.75" customHeight="1">
      <c r="A226" s="740"/>
      <c r="B226" s="740"/>
      <c r="E226" s="494"/>
      <c r="F226" s="494"/>
      <c r="G226" s="494"/>
      <c r="H226" s="494"/>
      <c r="I226" s="494"/>
      <c r="J226" s="494"/>
      <c r="K226" s="494"/>
      <c r="L226" s="494"/>
      <c r="M226" s="494"/>
      <c r="AD226" s="494"/>
      <c r="AE226" s="494"/>
      <c r="AF226" s="494"/>
      <c r="AG226" s="34"/>
      <c r="AH226" s="34"/>
      <c r="AN226" s="1957"/>
      <c r="AO226" s="1957"/>
      <c r="AP226" s="1957"/>
      <c r="AQ226" s="1957"/>
      <c r="AR226" s="1957"/>
      <c r="AS226" s="1957"/>
      <c r="AT226" s="1957"/>
      <c r="AU226" s="1957"/>
      <c r="AV226" s="1957"/>
      <c r="AW226" s="1957"/>
      <c r="AX226" s="1957"/>
      <c r="AY226" s="1957"/>
      <c r="AZ226" s="1957"/>
      <c r="BA226" s="1957"/>
      <c r="BB226" s="1957"/>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7"/>
      <c r="AO227" s="1957"/>
      <c r="AP227" s="1957"/>
      <c r="AQ227" s="1957"/>
      <c r="AR227" s="1957"/>
      <c r="AS227" s="1957"/>
      <c r="AT227" s="1957"/>
      <c r="AU227" s="1957"/>
      <c r="AV227" s="1957"/>
      <c r="AW227" s="1957"/>
      <c r="AX227" s="1957"/>
      <c r="AY227" s="1957"/>
      <c r="AZ227" s="1957"/>
      <c r="BA227" s="1957"/>
      <c r="BB227" s="1957"/>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7"/>
      <c r="AO228" s="1957"/>
      <c r="AP228" s="1957"/>
      <c r="AQ228" s="1957"/>
      <c r="AR228" s="1957"/>
      <c r="AS228" s="1957"/>
      <c r="AT228" s="1957"/>
      <c r="AU228" s="1957"/>
      <c r="AV228" s="1957"/>
      <c r="AW228" s="1957"/>
      <c r="AX228" s="1957"/>
      <c r="AY228" s="1957"/>
      <c r="AZ228" s="1957"/>
      <c r="BA228" s="1957"/>
      <c r="BB228" s="1957"/>
    </row>
    <row r="229" ht="12.75" customHeight="1">
      <c r="A229" s="740"/>
      <c r="B229" s="740"/>
      <c r="C229" s="741"/>
      <c r="D229" s="741"/>
      <c r="E229" s="34"/>
      <c r="F229" s="34"/>
      <c r="G229" s="34"/>
      <c r="H229" s="34"/>
      <c r="I229" s="34"/>
      <c r="J229" s="34"/>
      <c r="K229" s="34"/>
      <c r="L229" s="90"/>
      <c r="M229" s="90"/>
      <c r="N229" s="494"/>
      <c r="S229" s="118" t="s">
        <v>289</v>
      </c>
      <c r="AC229" s="494"/>
      <c r="AD229" s="34"/>
      <c r="AE229" s="34"/>
      <c r="AF229" s="34"/>
      <c r="AG229" s="34"/>
      <c r="AH229" s="34"/>
      <c r="AN229" s="1957"/>
      <c r="AO229" s="1957"/>
      <c r="AP229" s="1957"/>
      <c r="AQ229" s="1957"/>
      <c r="AR229" s="1957"/>
      <c r="AS229" s="1957"/>
      <c r="AT229" s="1957"/>
      <c r="AU229" s="1957"/>
      <c r="AV229" s="1957"/>
      <c r="AW229" s="1957"/>
      <c r="AX229" s="1957"/>
      <c r="AY229" s="1957"/>
      <c r="AZ229" s="1957"/>
      <c r="BA229" s="1957"/>
      <c r="BB229" s="1957"/>
    </row>
    <row r="230" ht="12.75" customHeight="1">
      <c r="A230" s="740"/>
      <c r="B230" s="740"/>
      <c r="C230" s="741"/>
      <c r="D230" s="741"/>
      <c r="E230" s="34"/>
      <c r="F230" s="34"/>
      <c r="G230" s="34"/>
      <c r="H230" s="34"/>
      <c r="I230" s="34"/>
      <c r="J230" s="34"/>
      <c r="K230" s="34"/>
      <c r="L230" s="90"/>
      <c r="M230" s="90"/>
      <c r="N230" s="493"/>
      <c r="O230" s="493" t="s">
        <v>220</v>
      </c>
      <c r="P230" s="494"/>
      <c r="Q230" s="494"/>
      <c r="R230" s="494"/>
      <c r="S230" s="494"/>
      <c r="T230" s="494"/>
      <c r="U230" s="494"/>
      <c r="V230" s="494"/>
      <c r="W230" s="494"/>
      <c r="X230" s="494"/>
      <c r="Y230" s="494"/>
      <c r="Z230" s="494"/>
      <c r="AA230" s="494"/>
      <c r="AB230" s="494"/>
      <c r="AC230" s="34"/>
      <c r="AD230" s="34"/>
      <c r="AE230" s="34"/>
      <c r="AF230" s="34"/>
      <c r="AG230" s="34"/>
      <c r="AH230" s="34"/>
      <c r="AN230" s="1957"/>
      <c r="AO230" s="1957"/>
      <c r="AP230" s="1957"/>
      <c r="AQ230" s="1957"/>
      <c r="AR230" s="1957"/>
      <c r="AS230" s="1957"/>
      <c r="AT230" s="1957"/>
      <c r="AU230" s="1957"/>
      <c r="AV230" s="1957"/>
      <c r="AW230" s="1957"/>
      <c r="AX230" s="1957"/>
      <c r="AY230" s="1957"/>
      <c r="AZ230" s="1957"/>
      <c r="BA230" s="1957"/>
      <c r="BB230" s="1957"/>
    </row>
    <row r="231" ht="12.75" customHeight="1">
      <c r="A231" s="740"/>
      <c r="B231" s="740"/>
      <c r="C231" s="741"/>
      <c r="D231" s="741"/>
      <c r="E231" s="34"/>
      <c r="F231" s="34"/>
      <c r="G231" s="34"/>
      <c r="H231" s="34"/>
      <c r="I231" s="34"/>
      <c r="J231" s="34"/>
      <c r="K231" s="34"/>
      <c r="L231" s="90"/>
      <c r="M231" s="90"/>
      <c r="N231" s="56"/>
      <c r="P231" s="493"/>
      <c r="R231" s="493"/>
      <c r="S231" s="90" t="s">
        <v>222</v>
      </c>
      <c r="T231" s="493"/>
      <c r="U231" s="493"/>
      <c r="V231" s="493"/>
      <c r="W231" s="493"/>
      <c r="X231" s="493"/>
      <c r="Y231" s="493"/>
      <c r="Z231" s="493"/>
      <c r="AA231" s="34"/>
      <c r="AB231" s="34"/>
      <c r="AC231" s="34"/>
      <c r="AD231" s="34"/>
      <c r="AE231" s="34"/>
      <c r="AF231" s="34"/>
      <c r="AG231" s="34"/>
      <c r="AH231" s="34"/>
      <c r="AN231" s="1957"/>
      <c r="AO231" s="1957"/>
      <c r="AP231" s="1957"/>
      <c r="AQ231" s="1957"/>
      <c r="AR231" s="1957"/>
      <c r="AS231" s="1957"/>
      <c r="AT231" s="1957"/>
      <c r="AU231" s="1957"/>
      <c r="AV231" s="1957"/>
      <c r="AW231" s="1957"/>
      <c r="AX231" s="1957"/>
      <c r="AY231" s="1957"/>
      <c r="AZ231" s="1957"/>
      <c r="BA231" s="1957"/>
      <c r="BB231" s="1957"/>
    </row>
    <row r="232" ht="12.75" customHeight="1">
      <c r="A232" s="740"/>
      <c r="B232" s="740"/>
      <c r="C232" s="741"/>
      <c r="D232" s="741"/>
      <c r="E232" s="34"/>
      <c r="F232" s="34"/>
      <c r="G232" s="34"/>
      <c r="H232" s="34"/>
      <c r="I232" s="34"/>
      <c r="J232" s="34"/>
      <c r="K232" s="34"/>
      <c r="L232" s="90"/>
      <c r="M232" s="90"/>
      <c r="N232" s="56"/>
      <c r="O232" s="56"/>
      <c r="P232" s="56"/>
      <c r="R232" s="56"/>
      <c r="S232" s="90" t="s">
        <v>223</v>
      </c>
      <c r="T232" s="56"/>
      <c r="U232" s="56"/>
      <c r="V232" s="56"/>
      <c r="W232" s="56"/>
      <c r="X232" s="56"/>
      <c r="Y232" s="34"/>
      <c r="Z232" s="34"/>
      <c r="AA232" s="34"/>
      <c r="AB232" s="34"/>
      <c r="AC232" s="34"/>
      <c r="AD232" s="34"/>
      <c r="AE232" s="34"/>
      <c r="AF232" s="34"/>
      <c r="AG232" s="34"/>
      <c r="AH232" s="34"/>
      <c r="AN232" s="1957"/>
      <c r="AO232" s="1957"/>
      <c r="AP232" s="1957"/>
      <c r="AQ232" s="1957"/>
      <c r="AR232" s="1957"/>
      <c r="AS232" s="1957"/>
      <c r="AT232" s="1957"/>
      <c r="AU232" s="1957"/>
      <c r="AV232" s="1957"/>
      <c r="AW232" s="1957"/>
      <c r="AX232" s="1957"/>
      <c r="AY232" s="1957"/>
      <c r="AZ232" s="1957"/>
      <c r="BA232" s="1957"/>
      <c r="BB232" s="1957"/>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7"/>
      <c r="AO233" s="1957"/>
      <c r="AP233" s="1957"/>
      <c r="AQ233" s="1957"/>
      <c r="AR233" s="1957"/>
      <c r="AS233" s="1957"/>
      <c r="AT233" s="1957"/>
      <c r="AU233" s="1957"/>
      <c r="AV233" s="1957"/>
      <c r="AW233" s="1957"/>
      <c r="AX233" s="1957"/>
      <c r="AY233" s="1957"/>
      <c r="AZ233" s="1957"/>
      <c r="BA233" s="1957"/>
      <c r="BB233" s="1957"/>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7"/>
      <c r="AO234" s="1957"/>
      <c r="AP234" s="1957"/>
      <c r="AQ234" s="1957"/>
      <c r="AR234" s="1957"/>
      <c r="AS234" s="1957"/>
      <c r="AT234" s="1957"/>
      <c r="AU234" s="1957"/>
      <c r="AV234" s="1957"/>
      <c r="AW234" s="1957"/>
      <c r="AX234" s="1957"/>
      <c r="AY234" s="1957"/>
      <c r="AZ234" s="1957"/>
      <c r="BA234" s="1957"/>
      <c r="BB234" s="1957"/>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7"/>
      <c r="AO235" s="1957"/>
      <c r="AP235" s="1957"/>
      <c r="AQ235" s="1957"/>
      <c r="AR235" s="1957"/>
      <c r="AS235" s="1957"/>
      <c r="AT235" s="1957"/>
      <c r="AU235" s="1957"/>
      <c r="AV235" s="1957"/>
      <c r="AW235" s="1957"/>
      <c r="AX235" s="1957"/>
      <c r="AY235" s="1957"/>
      <c r="AZ235" s="1957"/>
      <c r="BA235" s="1957"/>
      <c r="BB235" s="1957"/>
    </row>
    <row r="236" ht="16.5" customHeight="1">
      <c r="A236" s="2279" t="s">
        <v>744</v>
      </c>
      <c r="AN236" s="1957"/>
      <c r="AO236" s="1957"/>
      <c r="AP236" s="1957"/>
      <c r="AQ236" s="1957"/>
      <c r="AR236" s="1957"/>
      <c r="AS236" s="1957"/>
      <c r="AT236" s="1957"/>
      <c r="AU236" s="1957"/>
      <c r="AV236" s="1957"/>
      <c r="AW236" s="1957"/>
      <c r="AX236" s="1957"/>
      <c r="AY236" s="1957"/>
      <c r="AZ236" s="1957"/>
      <c r="BA236" s="1957"/>
      <c r="BB236" s="1957"/>
    </row>
    <row r="237" ht="16.5" customHeight="1">
      <c r="A237" s="2280"/>
      <c r="B237" s="2280"/>
      <c r="C237" s="2280"/>
      <c r="D237" s="2280"/>
      <c r="E237" s="2280"/>
      <c r="F237" s="2280"/>
      <c r="G237" s="2280"/>
      <c r="H237" s="2280"/>
      <c r="I237" s="2280"/>
      <c r="J237" s="2280"/>
      <c r="K237" s="2280"/>
      <c r="L237" s="2280"/>
      <c r="M237" s="2280"/>
      <c r="N237" s="2280"/>
      <c r="O237" s="2280"/>
      <c r="P237" s="2280"/>
      <c r="Q237" s="2280"/>
      <c r="R237" s="2280"/>
      <c r="S237" s="2280"/>
      <c r="T237" s="2280"/>
      <c r="U237" s="2280"/>
      <c r="V237" s="2280"/>
      <c r="W237" s="2280"/>
      <c r="X237" s="2280"/>
      <c r="Y237" s="2280"/>
      <c r="Z237" s="2280"/>
      <c r="AA237" s="2280"/>
      <c r="AB237" s="2280"/>
      <c r="AC237" s="2280"/>
      <c r="AD237" s="2280"/>
      <c r="AE237" s="2280"/>
      <c r="AF237" s="2280"/>
      <c r="AG237" s="2280"/>
      <c r="AH237" s="2280"/>
      <c r="AI237" s="2280"/>
      <c r="AJ237" s="2280"/>
      <c r="AK237" s="2280"/>
      <c r="AL237" s="2280"/>
      <c r="AM237" s="2280"/>
      <c r="AN237" s="1957"/>
      <c r="AO237" s="1957"/>
      <c r="AP237" s="1957"/>
      <c r="AQ237" s="1957"/>
      <c r="AR237" s="1957"/>
      <c r="AS237" s="1957"/>
      <c r="AT237" s="1957"/>
      <c r="AU237" s="1957"/>
      <c r="AV237" s="1957"/>
      <c r="AW237" s="1957"/>
      <c r="AX237" s="1957"/>
      <c r="AY237" s="1957"/>
      <c r="AZ237" s="1957"/>
      <c r="BA237" s="1957"/>
      <c r="BB237" s="1957"/>
    </row>
    <row r="238" ht="16.5" customHeight="1">
      <c r="A238" s="2281" t="s">
        <v>745</v>
      </c>
      <c r="B238" s="2280"/>
      <c r="C238" s="2280"/>
      <c r="D238" s="2280"/>
      <c r="E238" s="2280"/>
      <c r="F238" s="2280"/>
      <c r="G238" s="2280"/>
      <c r="H238" s="2280"/>
      <c r="I238" s="2280"/>
      <c r="J238" s="2280"/>
      <c r="K238" s="2280"/>
      <c r="L238" s="2280"/>
      <c r="M238" s="2280"/>
      <c r="N238" s="2280"/>
      <c r="O238" s="2280"/>
      <c r="P238" s="2280"/>
      <c r="Q238" s="2280"/>
      <c r="R238" s="2280"/>
      <c r="S238" s="2280"/>
      <c r="T238" s="2280"/>
      <c r="U238" s="2280"/>
      <c r="V238" s="2280"/>
      <c r="W238" s="2280"/>
      <c r="X238" s="2280"/>
      <c r="Y238" s="2280"/>
      <c r="Z238" s="2280"/>
      <c r="AA238" s="2280"/>
      <c r="AB238" s="2280"/>
      <c r="AC238" s="2280"/>
      <c r="AD238" s="2280"/>
      <c r="AE238" s="2280"/>
      <c r="AF238" s="2280"/>
      <c r="AG238" s="2280"/>
      <c r="AH238" s="2280"/>
      <c r="AI238" s="2280"/>
      <c r="AJ238" s="2280"/>
      <c r="AK238" s="2280"/>
      <c r="AL238" s="2280"/>
      <c r="AM238" s="2280"/>
      <c r="AN238" s="1957"/>
      <c r="AO238" s="1957"/>
      <c r="AP238" s="1957"/>
      <c r="AQ238" s="1957"/>
      <c r="AR238" s="1957"/>
      <c r="AS238" s="1957"/>
      <c r="AT238" s="1957"/>
      <c r="AU238" s="1957"/>
      <c r="AV238" s="1957"/>
      <c r="AW238" s="1957"/>
      <c r="AX238" s="1957"/>
      <c r="AY238" s="1957"/>
      <c r="AZ238" s="1957"/>
      <c r="BA238" s="1957"/>
      <c r="BB238" s="1957"/>
    </row>
    <row r="239" ht="16.5" customHeight="1">
      <c r="A239" s="2280"/>
      <c r="B239" s="2280"/>
      <c r="C239" s="2280"/>
      <c r="D239" s="2280"/>
      <c r="E239" s="2280"/>
      <c r="F239" s="2280"/>
      <c r="G239" s="2280"/>
      <c r="H239" s="2280"/>
      <c r="I239" s="2280"/>
      <c r="J239" s="2280"/>
      <c r="K239" s="2280"/>
      <c r="L239" s="2280"/>
      <c r="M239" s="2280"/>
      <c r="N239" s="2280"/>
      <c r="O239" s="2280"/>
      <c r="P239" s="2280"/>
      <c r="Q239" s="2280"/>
      <c r="R239" s="2280"/>
      <c r="S239" s="2280"/>
      <c r="T239" s="2280"/>
      <c r="U239" s="2280"/>
      <c r="V239" s="2280"/>
      <c r="W239" s="2280"/>
      <c r="X239" s="2280"/>
      <c r="Y239" s="2280"/>
      <c r="Z239" s="2280"/>
      <c r="AA239" s="2280"/>
      <c r="AB239" s="2280"/>
      <c r="AC239" s="2280"/>
      <c r="AD239" s="2280"/>
      <c r="AE239" s="2280"/>
      <c r="AF239" s="2280"/>
      <c r="AG239" s="2280"/>
      <c r="AH239" s="2280"/>
      <c r="AI239" s="2280"/>
      <c r="AJ239" s="2280"/>
      <c r="AK239" s="2280"/>
      <c r="AL239" s="2280"/>
      <c r="AM239" s="2280"/>
      <c r="AN239" s="1957"/>
      <c r="AO239" s="1957"/>
      <c r="AP239" s="1957"/>
      <c r="AQ239" s="1957"/>
      <c r="AR239" s="1957"/>
      <c r="AS239" s="1957"/>
      <c r="AT239" s="1957"/>
      <c r="AU239" s="1957"/>
      <c r="AV239" s="1957"/>
      <c r="AW239" s="1957"/>
      <c r="AX239" s="1957"/>
      <c r="AY239" s="1957"/>
      <c r="AZ239" s="1957"/>
      <c r="BA239" s="1957"/>
      <c r="BB239" s="1957"/>
    </row>
    <row r="240" ht="16.5" customHeight="1">
      <c r="A240" s="2281" t="s">
        <v>746</v>
      </c>
      <c r="B240" s="2280"/>
      <c r="C240" s="2280"/>
      <c r="D240" s="2280"/>
      <c r="E240" s="2280"/>
      <c r="F240" s="2280"/>
      <c r="G240" s="2280"/>
      <c r="H240" s="2280"/>
      <c r="I240" s="2280"/>
      <c r="J240" s="2280"/>
      <c r="K240" s="2280"/>
      <c r="L240" s="2280"/>
      <c r="N240" s="2280"/>
      <c r="O240" s="2280"/>
      <c r="P240" s="2280"/>
      <c r="Q240" s="2280"/>
      <c r="R240" s="2280"/>
      <c r="S240" s="2280"/>
      <c r="T240" s="2280"/>
      <c r="U240" s="2280"/>
      <c r="V240" s="2280"/>
      <c r="W240" s="2280"/>
      <c r="X240" s="2280"/>
      <c r="Y240" s="2280"/>
      <c r="Z240" s="2280"/>
      <c r="AA240" s="2280"/>
      <c r="AB240" s="2280"/>
      <c r="AC240" s="2280"/>
      <c r="AD240" s="2280"/>
      <c r="AE240" s="2280"/>
      <c r="AF240" s="2280"/>
      <c r="AG240" s="2280"/>
      <c r="AH240" s="2280"/>
      <c r="AI240" s="2280"/>
      <c r="AJ240" s="2280"/>
      <c r="AK240" s="2280"/>
      <c r="AL240" s="2280"/>
      <c r="AM240" s="2280"/>
      <c r="AN240" s="1957"/>
      <c r="AO240" s="1957"/>
      <c r="AP240" s="1957"/>
      <c r="AQ240" s="1957"/>
      <c r="AR240" s="1957"/>
      <c r="AS240" s="1957"/>
      <c r="AT240" s="1957"/>
      <c r="AU240" s="1957"/>
      <c r="AV240" s="1957"/>
      <c r="AW240" s="1957"/>
      <c r="AX240" s="1957"/>
      <c r="AY240" s="1957"/>
      <c r="AZ240" s="1957"/>
      <c r="BA240" s="1957"/>
      <c r="BB240" s="1957"/>
    </row>
    <row r="241" ht="16.5" customHeight="1">
      <c r="A241" s="2281" t="s">
        <v>747</v>
      </c>
      <c r="B241" s="2280"/>
      <c r="C241" s="2280"/>
      <c r="D241" s="2280"/>
      <c r="E241" s="2281" t="s">
        <v>748</v>
      </c>
      <c r="F241" s="2280"/>
      <c r="G241" s="2280"/>
      <c r="H241" s="2280"/>
      <c r="I241" s="2281" t="s">
        <v>749</v>
      </c>
      <c r="J241" s="2280"/>
      <c r="K241" s="2280"/>
      <c r="L241" s="2280"/>
      <c r="M241" s="2281" t="s">
        <v>750</v>
      </c>
      <c r="N241" s="2280"/>
      <c r="O241" s="2280"/>
      <c r="P241" s="2280"/>
      <c r="Q241" s="2280"/>
      <c r="R241" s="2280"/>
      <c r="S241" s="2281" t="s">
        <v>751</v>
      </c>
      <c r="U241" s="2280"/>
      <c r="V241" s="2282" t="s">
        <v>752</v>
      </c>
      <c r="W241" s="2280"/>
      <c r="X241" s="2280"/>
      <c r="Y241" s="2281" t="s">
        <v>753</v>
      </c>
      <c r="AE241" s="2283" t="s">
        <v>754</v>
      </c>
      <c r="AH241" s="2280"/>
      <c r="AI241" s="2280"/>
      <c r="AJ241" s="2280"/>
      <c r="AK241" s="2280"/>
      <c r="AL241" s="2280"/>
      <c r="AM241" s="2280"/>
      <c r="AN241" s="1957"/>
      <c r="AO241" s="1957"/>
      <c r="AP241" s="1957"/>
      <c r="AQ241" s="1957"/>
      <c r="AR241" s="1957"/>
      <c r="AS241" s="1957"/>
      <c r="AT241" s="1957"/>
      <c r="AU241" s="1957"/>
      <c r="AV241" s="1957"/>
      <c r="AW241" s="1957"/>
      <c r="AX241" s="1957"/>
      <c r="AY241" s="1957"/>
      <c r="AZ241" s="1957"/>
      <c r="BA241" s="1957"/>
      <c r="BB241" s="1957"/>
    </row>
    <row r="242" ht="16.5" customHeight="1">
      <c r="B242" s="2280"/>
      <c r="C242" s="2280"/>
      <c r="D242" s="2280"/>
      <c r="E242" s="2280"/>
      <c r="F242" s="2280"/>
      <c r="G242" s="2280"/>
      <c r="H242" s="2280"/>
      <c r="I242" s="2280"/>
      <c r="J242" s="2280"/>
      <c r="K242" s="2280"/>
      <c r="L242" s="2280"/>
      <c r="M242" s="2280"/>
      <c r="N242" s="2280"/>
      <c r="O242" s="2280"/>
      <c r="P242" s="2280"/>
      <c r="Q242" s="2280"/>
      <c r="R242" s="2280"/>
      <c r="S242" s="2280"/>
      <c r="T242" s="2280"/>
      <c r="U242" s="2280"/>
      <c r="V242" s="2280"/>
      <c r="W242" s="2280"/>
      <c r="X242" s="2280"/>
      <c r="Y242" s="2280"/>
      <c r="Z242" s="2280"/>
      <c r="AA242" s="2280"/>
      <c r="AB242" s="2280"/>
      <c r="AC242" s="2280"/>
      <c r="AD242" s="2280"/>
      <c r="AE242" s="2280"/>
      <c r="AF242" s="2280"/>
      <c r="AG242" s="2280"/>
      <c r="AH242" s="2280"/>
      <c r="AI242" s="2280"/>
      <c r="AJ242" s="2280"/>
      <c r="AK242" s="2280"/>
      <c r="AL242" s="2280"/>
      <c r="AM242" s="2280"/>
      <c r="AN242" s="1957"/>
      <c r="AO242" s="1957"/>
      <c r="AP242" s="1957"/>
      <c r="AQ242" s="1957"/>
      <c r="AR242" s="1957"/>
      <c r="AS242" s="1957"/>
      <c r="AT242" s="1957"/>
      <c r="AU242" s="1957"/>
      <c r="AV242" s="1957"/>
      <c r="AW242" s="1957"/>
      <c r="AX242" s="1957"/>
      <c r="AY242" s="1957"/>
      <c r="AZ242" s="1957"/>
      <c r="BA242" s="1957"/>
      <c r="BB242" s="1957"/>
    </row>
    <row r="243" ht="16.5" customHeight="1">
      <c r="B243" s="2280"/>
      <c r="C243" s="2280"/>
      <c r="D243" s="2280"/>
      <c r="E243" s="2280"/>
      <c r="F243" s="2280"/>
      <c r="G243" s="2280"/>
      <c r="H243" s="2280"/>
      <c r="I243" s="2280"/>
      <c r="J243" s="2280"/>
      <c r="K243" s="2280"/>
      <c r="L243" s="2280"/>
      <c r="M243" s="2280"/>
      <c r="N243" s="2280"/>
      <c r="O243" s="2280"/>
      <c r="P243" s="2280"/>
      <c r="Q243" s="2280"/>
      <c r="R243" s="2280"/>
      <c r="S243" s="2280"/>
      <c r="T243" s="2280"/>
      <c r="U243" s="2280"/>
      <c r="V243" s="2280"/>
      <c r="W243" s="2280"/>
      <c r="X243" s="2280"/>
      <c r="Y243" s="2280"/>
      <c r="Z243" s="2280"/>
      <c r="AA243" s="2280"/>
      <c r="AB243" s="2280"/>
      <c r="AC243" s="2280"/>
      <c r="AD243" s="2280"/>
      <c r="AE243" s="2280"/>
      <c r="AF243" s="2280"/>
      <c r="AG243" s="2280"/>
      <c r="AH243" s="2280"/>
      <c r="AI243" s="2280"/>
      <c r="AJ243" s="2280"/>
      <c r="AK243" s="2280"/>
      <c r="AL243" s="2280"/>
      <c r="AM243" s="2280"/>
      <c r="AN243" s="1957"/>
      <c r="AO243" s="1957"/>
      <c r="AP243" s="1957"/>
      <c r="AQ243" s="1957"/>
      <c r="AR243" s="1957"/>
      <c r="AS243" s="1957"/>
      <c r="AT243" s="1957"/>
      <c r="AU243" s="1957"/>
      <c r="AV243" s="1957"/>
      <c r="AW243" s="1957"/>
      <c r="AX243" s="1957"/>
      <c r="AY243" s="1957"/>
      <c r="AZ243" s="1957"/>
      <c r="BA243" s="1957"/>
      <c r="BB243" s="1957"/>
    </row>
    <row r="244" ht="16.5" customHeight="1">
      <c r="A244" s="2281" t="s">
        <v>755</v>
      </c>
      <c r="B244" s="2280"/>
      <c r="C244" s="2280"/>
      <c r="D244" s="2280"/>
      <c r="E244" s="2280"/>
      <c r="F244" s="2280"/>
      <c r="G244" s="2280"/>
      <c r="H244" s="2280"/>
      <c r="I244" s="2280"/>
      <c r="J244" s="2280"/>
      <c r="K244" s="2280"/>
      <c r="L244" s="2282" t="s">
        <v>756</v>
      </c>
      <c r="M244" s="2280"/>
      <c r="N244" s="2280"/>
      <c r="O244" s="2280"/>
      <c r="P244" s="2281" t="s">
        <v>757</v>
      </c>
      <c r="Q244" s="2281"/>
      <c r="R244" s="2280"/>
      <c r="S244" s="2280"/>
      <c r="T244" s="2280"/>
      <c r="V244" s="2280"/>
      <c r="W244" s="2280"/>
      <c r="X244" s="2281" t="s">
        <v>758</v>
      </c>
      <c r="Z244" s="2280"/>
      <c r="AA244" s="2280"/>
      <c r="AB244" s="2280"/>
      <c r="AC244" s="2280"/>
      <c r="AD244" s="2280"/>
      <c r="AE244" s="2280"/>
      <c r="AF244" s="2280"/>
      <c r="AG244" s="2280"/>
      <c r="AH244" s="2280"/>
      <c r="AI244" s="2280"/>
      <c r="AJ244" s="2280"/>
      <c r="AK244" s="2280"/>
      <c r="AL244" s="2280"/>
      <c r="AM244" s="2280"/>
      <c r="AN244" s="1957"/>
      <c r="AO244" s="1957"/>
      <c r="AP244" s="1957"/>
      <c r="AQ244" s="1957"/>
      <c r="AR244" s="1957"/>
      <c r="AS244" s="1957"/>
      <c r="AT244" s="1957"/>
      <c r="AU244" s="1957"/>
      <c r="AV244" s="1957"/>
      <c r="AW244" s="1957"/>
      <c r="AX244" s="1957"/>
      <c r="AY244" s="1957"/>
      <c r="AZ244" s="1957"/>
      <c r="BA244" s="1957"/>
      <c r="BB244" s="1957"/>
    </row>
    <row r="245" ht="16.5" customHeight="1">
      <c r="B245" s="2280"/>
      <c r="C245" s="2280"/>
      <c r="D245" s="2280"/>
      <c r="E245" s="2280"/>
      <c r="F245" s="2280"/>
      <c r="G245" s="2280"/>
      <c r="H245" s="2280"/>
      <c r="I245" s="2280"/>
      <c r="J245" s="2280"/>
      <c r="K245" s="2280"/>
      <c r="L245" s="2280"/>
      <c r="M245" s="2280"/>
      <c r="N245" s="2280"/>
      <c r="O245" s="2280"/>
      <c r="P245" s="2280"/>
      <c r="Q245" s="2280"/>
      <c r="R245" s="2280"/>
      <c r="S245" s="2280"/>
      <c r="T245" s="2280"/>
      <c r="U245" s="2280"/>
      <c r="V245" s="2280"/>
      <c r="W245" s="2280"/>
      <c r="X245" s="2280"/>
      <c r="Y245" s="2280"/>
      <c r="Z245" s="2280"/>
      <c r="AA245" s="2280"/>
      <c r="AB245" s="2280"/>
      <c r="AC245" s="2280"/>
      <c r="AD245" s="2280"/>
      <c r="AE245" s="2280"/>
      <c r="AF245" s="2280"/>
      <c r="AG245" s="2280"/>
      <c r="AH245" s="2280"/>
      <c r="AI245" s="2280"/>
      <c r="AJ245" s="2280"/>
      <c r="AK245" s="2280"/>
      <c r="AL245" s="2280"/>
      <c r="AM245" s="2280"/>
      <c r="AN245" s="1957"/>
      <c r="AO245" s="1957"/>
      <c r="AP245" s="1957"/>
      <c r="AQ245" s="1957"/>
      <c r="AR245" s="1957"/>
      <c r="AS245" s="1957"/>
      <c r="AT245" s="1957"/>
      <c r="AU245" s="1957"/>
      <c r="AV245" s="1957"/>
      <c r="AW245" s="1957"/>
      <c r="AX245" s="1957"/>
      <c r="AY245" s="1957"/>
      <c r="AZ245" s="1957"/>
      <c r="BA245" s="1957"/>
      <c r="BB245" s="1957"/>
    </row>
    <row r="246" ht="16.5" customHeight="1">
      <c r="A246" s="2284"/>
      <c r="B246" s="2280"/>
      <c r="C246" s="2280"/>
      <c r="D246" s="2280"/>
      <c r="E246" s="2280"/>
      <c r="F246" s="2280"/>
      <c r="G246" s="2280"/>
      <c r="H246" s="2280"/>
      <c r="I246" s="2280"/>
      <c r="J246" s="2280"/>
      <c r="K246" s="2280"/>
      <c r="L246" s="2280"/>
      <c r="M246" s="2280"/>
      <c r="N246" s="2280"/>
      <c r="O246" s="2280"/>
      <c r="P246" s="2280"/>
      <c r="Q246" s="2280"/>
      <c r="R246" s="2280"/>
      <c r="S246" s="2280"/>
      <c r="T246" s="2280"/>
      <c r="U246" s="2280"/>
      <c r="V246" s="2280"/>
      <c r="W246" s="2280"/>
      <c r="X246" s="2280"/>
      <c r="Y246" s="2280"/>
      <c r="Z246" s="2280"/>
      <c r="AA246" s="2280"/>
      <c r="AB246" s="2280"/>
      <c r="AC246" s="2280"/>
      <c r="AD246" s="2280"/>
      <c r="AE246" s="2280"/>
      <c r="AF246" s="2280"/>
      <c r="AG246" s="2280"/>
      <c r="AH246" s="2280"/>
      <c r="AI246" s="2280"/>
      <c r="AJ246" s="2280"/>
      <c r="AK246" s="2280"/>
      <c r="AL246" s="2280"/>
      <c r="AM246" s="2280"/>
      <c r="AN246" s="1957"/>
      <c r="AO246" s="1957"/>
      <c r="AP246" s="1957"/>
      <c r="AQ246" s="1957"/>
      <c r="AR246" s="1957"/>
      <c r="AS246" s="1957"/>
      <c r="AT246" s="1957"/>
      <c r="AU246" s="1957"/>
      <c r="AV246" s="1957"/>
      <c r="AW246" s="1957"/>
      <c r="AX246" s="1957"/>
      <c r="AY246" s="1957"/>
      <c r="AZ246" s="1957"/>
      <c r="BA246" s="1957"/>
      <c r="BB246" s="1957"/>
    </row>
    <row r="247" ht="16.5" customHeight="1">
      <c r="A247" s="2281"/>
      <c r="B247" s="2280"/>
      <c r="C247" s="2280"/>
      <c r="D247" s="2280"/>
      <c r="E247" s="2280"/>
      <c r="F247" s="2280"/>
      <c r="G247" s="2280"/>
      <c r="H247" s="2280"/>
      <c r="I247" s="2280"/>
      <c r="J247" s="2280"/>
      <c r="K247" s="2280"/>
      <c r="L247" s="2280"/>
      <c r="M247" s="2280"/>
      <c r="N247" s="2280"/>
      <c r="O247" s="2280"/>
      <c r="P247" s="2280"/>
      <c r="Q247" s="2280"/>
      <c r="R247" s="2280"/>
      <c r="S247" s="2280"/>
      <c r="T247" s="2280"/>
      <c r="U247" s="2280"/>
      <c r="V247" s="2280"/>
      <c r="W247" s="2280"/>
      <c r="X247" s="2280"/>
      <c r="Y247" s="2280"/>
      <c r="Z247" s="2280"/>
      <c r="AA247" s="2280"/>
      <c r="AB247" s="2280"/>
      <c r="AC247" s="2280"/>
      <c r="AD247" s="2280"/>
      <c r="AE247" s="2280"/>
      <c r="AF247" s="2280"/>
      <c r="AG247" s="2280"/>
      <c r="AH247" s="2280"/>
      <c r="AI247" s="2280"/>
      <c r="AJ247" s="2280"/>
      <c r="AK247" s="2280"/>
      <c r="AL247" s="2280"/>
      <c r="AM247" s="2280"/>
      <c r="AN247" s="1957"/>
      <c r="AO247" s="1957"/>
      <c r="AP247" s="1957"/>
      <c r="AQ247" s="1957"/>
      <c r="AR247" s="1957"/>
      <c r="AS247" s="1957"/>
      <c r="AT247" s="1957"/>
      <c r="AU247" s="1957"/>
      <c r="AV247" s="1957"/>
      <c r="AW247" s="1957"/>
      <c r="AX247" s="1957"/>
      <c r="AY247" s="1957"/>
      <c r="AZ247" s="1957"/>
      <c r="BA247" s="1957"/>
      <c r="BB247" s="1957"/>
    </row>
    <row r="248" ht="16.5" customHeight="1">
      <c r="A248" s="2281"/>
      <c r="B248" s="2280"/>
      <c r="C248" s="2280"/>
      <c r="D248" s="2280"/>
      <c r="E248" s="2280"/>
      <c r="F248" s="2280"/>
      <c r="G248" s="2280"/>
      <c r="H248" s="2280"/>
      <c r="I248" s="2280"/>
      <c r="J248" s="2280"/>
      <c r="K248" s="2280"/>
      <c r="L248" s="2280"/>
      <c r="M248" s="2280"/>
      <c r="N248" s="2280"/>
      <c r="O248" s="2280"/>
      <c r="P248" s="2280"/>
      <c r="Q248" s="2280"/>
      <c r="R248" s="2280"/>
      <c r="S248" s="2280"/>
      <c r="T248" s="2280"/>
      <c r="U248" s="2280"/>
      <c r="V248" s="2280"/>
      <c r="W248" s="2280"/>
      <c r="X248" s="2280"/>
      <c r="Y248" s="2280"/>
      <c r="Z248" s="2280"/>
      <c r="AA248" s="2280"/>
      <c r="AB248" s="2280"/>
      <c r="AC248" s="2280"/>
      <c r="AD248" s="2280"/>
      <c r="AE248" s="2280"/>
      <c r="AF248" s="2280"/>
      <c r="AG248" s="2280"/>
      <c r="AH248" s="2280"/>
      <c r="AI248" s="2280"/>
      <c r="AJ248" s="2280"/>
      <c r="AK248" s="2280"/>
      <c r="AL248" s="2280"/>
      <c r="AM248" s="2280"/>
      <c r="AN248" s="1957"/>
      <c r="AO248" s="1957"/>
      <c r="AP248" s="1957"/>
      <c r="AQ248" s="1957"/>
      <c r="AR248" s="1957"/>
      <c r="AS248" s="1957"/>
      <c r="AT248" s="1957"/>
      <c r="AU248" s="1957"/>
      <c r="AV248" s="1957"/>
      <c r="AW248" s="1957"/>
      <c r="AX248" s="1957"/>
      <c r="AY248" s="1957"/>
      <c r="AZ248" s="1957"/>
      <c r="BA248" s="1957"/>
      <c r="BB248" s="1957"/>
    </row>
    <row r="249" ht="16.5" customHeight="1">
      <c r="B249" s="2280"/>
      <c r="C249" s="2280"/>
      <c r="D249" s="2280"/>
      <c r="E249" s="2280"/>
      <c r="F249" s="2280"/>
      <c r="G249" s="2280"/>
      <c r="H249" s="2280"/>
      <c r="I249" s="2280"/>
      <c r="J249" s="2280"/>
      <c r="K249" s="2280"/>
      <c r="L249" s="2280"/>
      <c r="M249" s="2280"/>
      <c r="N249" s="2280"/>
      <c r="O249" s="2280"/>
      <c r="P249" s="2280"/>
      <c r="Q249" s="2280"/>
      <c r="R249" s="2280"/>
      <c r="S249" s="2280"/>
      <c r="T249" s="2280"/>
      <c r="U249" s="2280"/>
      <c r="V249" s="2280"/>
      <c r="W249" s="2280"/>
      <c r="X249" s="2280"/>
      <c r="Y249" s="2280"/>
      <c r="Z249" s="2280"/>
      <c r="AA249" s="2280"/>
      <c r="AB249" s="2280"/>
      <c r="AC249" s="2280"/>
      <c r="AD249" s="2280"/>
      <c r="AE249" s="2280"/>
      <c r="AF249" s="2280"/>
      <c r="AG249" s="2280"/>
      <c r="AH249" s="2280"/>
      <c r="AI249" s="2280"/>
      <c r="AJ249" s="2280"/>
      <c r="AK249" s="2280"/>
      <c r="AL249" s="2280"/>
      <c r="AM249" s="2280"/>
      <c r="AN249" s="1957"/>
      <c r="AO249" s="1957"/>
      <c r="AP249" s="1957"/>
      <c r="AQ249" s="1957"/>
      <c r="AR249" s="1957"/>
      <c r="AS249" s="1957"/>
      <c r="AT249" s="1957"/>
      <c r="AU249" s="1957"/>
      <c r="AV249" s="1957"/>
      <c r="AW249" s="1957"/>
      <c r="AX249" s="1957"/>
      <c r="AY249" s="1957"/>
      <c r="AZ249" s="1957"/>
      <c r="BA249" s="1957"/>
      <c r="BB249" s="1957"/>
    </row>
    <row r="250" ht="16.5" customHeight="1">
      <c r="A250" s="2284"/>
      <c r="B250" s="2280"/>
      <c r="C250" s="2280"/>
      <c r="D250" s="2280"/>
      <c r="E250" s="2280"/>
      <c r="F250" s="2280"/>
      <c r="G250" s="2280"/>
      <c r="H250" s="2280"/>
      <c r="I250" s="2280"/>
      <c r="J250" s="2280"/>
      <c r="K250" s="2280"/>
      <c r="L250" s="2280"/>
      <c r="M250" s="2280"/>
      <c r="N250" s="2280"/>
      <c r="O250" s="2280"/>
      <c r="P250" s="2280"/>
      <c r="Q250" s="2280"/>
      <c r="R250" s="2280"/>
      <c r="S250" s="2280"/>
      <c r="T250" s="2280"/>
      <c r="U250" s="2280"/>
      <c r="V250" s="2280"/>
      <c r="W250" s="2280"/>
      <c r="X250" s="2280"/>
      <c r="Y250" s="2280"/>
      <c r="Z250" s="2280"/>
      <c r="AA250" s="2280"/>
      <c r="AB250" s="2280"/>
      <c r="AC250" s="2280"/>
      <c r="AD250" s="2280"/>
      <c r="AE250" s="2280"/>
      <c r="AF250" s="2280"/>
      <c r="AG250" s="2280"/>
      <c r="AH250" s="2280"/>
      <c r="AI250" s="2280"/>
      <c r="AJ250" s="2280"/>
      <c r="AK250" s="2280"/>
      <c r="AL250" s="2280"/>
      <c r="AM250" s="2280"/>
      <c r="AN250" s="1957"/>
      <c r="AO250" s="1957"/>
      <c r="AP250" s="1957"/>
      <c r="AQ250" s="1957"/>
      <c r="AR250" s="1957"/>
      <c r="AS250" s="1957"/>
      <c r="AT250" s="1957"/>
      <c r="AU250" s="1957"/>
      <c r="AV250" s="1957"/>
      <c r="AW250" s="1957"/>
      <c r="AX250" s="1957"/>
      <c r="AY250" s="1957"/>
      <c r="AZ250" s="1957"/>
      <c r="BA250" s="1957"/>
      <c r="BB250" s="1957"/>
    </row>
    <row r="251" ht="16.5" customHeight="1">
      <c r="A251" s="2284"/>
      <c r="B251" s="2280"/>
      <c r="C251" s="2280"/>
      <c r="D251" s="2280"/>
      <c r="E251" s="2280"/>
      <c r="F251" s="2280"/>
      <c r="G251" s="2280"/>
      <c r="H251" s="2280"/>
      <c r="I251" s="2280"/>
      <c r="J251" s="2280"/>
      <c r="K251" s="2280"/>
      <c r="L251" s="2280"/>
      <c r="M251" s="2280"/>
      <c r="N251" s="2280"/>
      <c r="O251" s="2280"/>
      <c r="P251" s="2280"/>
      <c r="Q251" s="2280"/>
      <c r="R251" s="2280"/>
      <c r="S251" s="2280"/>
      <c r="T251" s="2280"/>
      <c r="U251" s="2280"/>
      <c r="V251" s="2280"/>
      <c r="W251" s="2280"/>
      <c r="X251" s="2280"/>
      <c r="Y251" s="2280"/>
      <c r="Z251" s="2280"/>
      <c r="AA251" s="2280"/>
      <c r="AB251" s="2280"/>
      <c r="AC251" s="2280"/>
      <c r="AD251" s="2280"/>
      <c r="AE251" s="2280"/>
      <c r="AF251" s="2280"/>
      <c r="AG251" s="2280"/>
      <c r="AH251" s="2280"/>
      <c r="AI251" s="2280"/>
      <c r="AJ251" s="2280"/>
      <c r="AK251" s="2280"/>
      <c r="AL251" s="2280"/>
      <c r="AM251" s="2280"/>
      <c r="AN251" s="1957"/>
      <c r="AO251" s="1957"/>
      <c r="AP251" s="1957"/>
      <c r="AQ251" s="1957"/>
      <c r="AR251" s="1957"/>
      <c r="AS251" s="1957"/>
      <c r="AT251" s="1957"/>
      <c r="AU251" s="1957"/>
      <c r="AV251" s="1957"/>
      <c r="AW251" s="1957"/>
      <c r="AX251" s="1957"/>
      <c r="AY251" s="1957"/>
      <c r="AZ251" s="1957"/>
      <c r="BA251" s="1957"/>
      <c r="BB251" s="1957"/>
    </row>
    <row r="252" ht="16.5" customHeight="1">
      <c r="A252" s="2284"/>
      <c r="B252" s="2280"/>
      <c r="C252" s="2280"/>
      <c r="D252" s="2280"/>
      <c r="E252" s="2280"/>
      <c r="F252" s="2280"/>
      <c r="G252" s="2280"/>
      <c r="H252" s="2280"/>
      <c r="I252" s="2280"/>
      <c r="J252" s="2280"/>
      <c r="K252" s="2280"/>
      <c r="L252" s="2280"/>
      <c r="M252" s="2280"/>
      <c r="N252" s="2280"/>
      <c r="O252" s="2280"/>
      <c r="P252" s="2280"/>
      <c r="Q252" s="2280"/>
      <c r="R252" s="2280"/>
      <c r="S252" s="2280"/>
      <c r="T252" s="2280"/>
      <c r="U252" s="2280"/>
      <c r="V252" s="2280"/>
      <c r="W252" s="2280"/>
      <c r="X252" s="2280"/>
      <c r="Y252" s="2280"/>
      <c r="Z252" s="2280"/>
      <c r="AA252" s="2280"/>
      <c r="AB252" s="2280"/>
      <c r="AC252" s="2280"/>
      <c r="AD252" s="2280"/>
      <c r="AE252" s="2280"/>
      <c r="AF252" s="2280"/>
      <c r="AG252" s="2280"/>
      <c r="AH252" s="2280"/>
      <c r="AI252" s="2280"/>
      <c r="AJ252" s="2280"/>
      <c r="AK252" s="2280"/>
      <c r="AL252" s="2280"/>
      <c r="AM252" s="2280"/>
      <c r="AN252" s="1957"/>
      <c r="AO252" s="1957"/>
      <c r="AP252" s="1957"/>
      <c r="AQ252" s="1957"/>
      <c r="AR252" s="1957"/>
      <c r="AS252" s="1957"/>
      <c r="AT252" s="1957"/>
      <c r="AU252" s="1957"/>
      <c r="AV252" s="1957"/>
      <c r="AW252" s="1957"/>
      <c r="AX252" s="1957"/>
      <c r="AY252" s="1957"/>
      <c r="AZ252" s="1957"/>
      <c r="BA252" s="1957"/>
      <c r="BB252" s="1957"/>
    </row>
    <row r="253" ht="16.5" customHeight="1">
      <c r="A253" s="2284"/>
      <c r="B253" s="2280"/>
      <c r="C253" s="2280"/>
      <c r="D253" s="2280"/>
      <c r="E253" s="2280"/>
      <c r="F253" s="2280"/>
      <c r="G253" s="2280"/>
      <c r="H253" s="2280"/>
      <c r="I253" s="2280"/>
      <c r="J253" s="2280"/>
      <c r="K253" s="2280"/>
      <c r="L253" s="2280"/>
      <c r="M253" s="2280"/>
      <c r="N253" s="2280"/>
      <c r="O253" s="2280"/>
      <c r="P253" s="2280"/>
      <c r="Q253" s="2280"/>
      <c r="R253" s="2280"/>
      <c r="S253" s="2280"/>
      <c r="T253" s="2280"/>
      <c r="U253" s="2280"/>
      <c r="V253" s="2280"/>
      <c r="W253" s="2280"/>
      <c r="X253" s="2280"/>
      <c r="Y253" s="2280"/>
      <c r="Z253" s="2280"/>
      <c r="AA253" s="2280"/>
      <c r="AB253" s="2280"/>
      <c r="AC253" s="2280"/>
      <c r="AD253" s="2280"/>
      <c r="AE253" s="2280"/>
      <c r="AF253" s="2280"/>
      <c r="AG253" s="2280"/>
      <c r="AH253" s="2280"/>
      <c r="AI253" s="2280"/>
      <c r="AJ253" s="2280"/>
      <c r="AK253" s="2280"/>
      <c r="AL253" s="2280"/>
      <c r="AM253" s="2280"/>
      <c r="AN253" s="1957"/>
      <c r="AO253" s="1957"/>
      <c r="AP253" s="1957"/>
      <c r="AQ253" s="1957"/>
      <c r="AR253" s="1957"/>
      <c r="AS253" s="1957"/>
      <c r="AT253" s="1957"/>
      <c r="AU253" s="1957"/>
      <c r="AV253" s="1957"/>
      <c r="AW253" s="1957"/>
      <c r="AX253" s="1957"/>
      <c r="AY253" s="1957"/>
      <c r="AZ253" s="1957"/>
      <c r="BA253" s="1957"/>
      <c r="BB253" s="1957"/>
    </row>
    <row r="254" ht="16.5" customHeight="1">
      <c r="A254" s="2284"/>
      <c r="B254" s="2280"/>
      <c r="C254" s="2280"/>
      <c r="D254" s="2280"/>
      <c r="E254" s="2280"/>
      <c r="F254" s="2280"/>
      <c r="G254" s="2280"/>
      <c r="H254" s="2280"/>
      <c r="I254" s="2280"/>
      <c r="J254" s="2280"/>
      <c r="K254" s="2280"/>
      <c r="L254" s="2280"/>
      <c r="M254" s="2280"/>
      <c r="N254" s="2280"/>
      <c r="O254" s="2280"/>
      <c r="P254" s="2280"/>
      <c r="Q254" s="2280"/>
      <c r="R254" s="2280"/>
      <c r="S254" s="2280"/>
      <c r="T254" s="2280"/>
      <c r="U254" s="2280"/>
      <c r="V254" s="2280"/>
      <c r="W254" s="2280"/>
      <c r="X254" s="2280"/>
      <c r="Y254" s="2280"/>
      <c r="Z254" s="2280"/>
      <c r="AA254" s="2280"/>
      <c r="AB254" s="2280"/>
      <c r="AC254" s="2280"/>
      <c r="AD254" s="2280"/>
      <c r="AE254" s="2280"/>
      <c r="AF254" s="2280"/>
      <c r="AG254" s="2280"/>
      <c r="AH254" s="2280"/>
      <c r="AI254" s="2280"/>
      <c r="AJ254" s="2280"/>
      <c r="AK254" s="2280"/>
      <c r="AL254" s="2280"/>
      <c r="AM254" s="2280"/>
      <c r="AN254" s="1957"/>
      <c r="AO254" s="1957"/>
      <c r="AP254" s="1957"/>
      <c r="AQ254" s="1957"/>
      <c r="AR254" s="1957"/>
      <c r="AS254" s="1957"/>
      <c r="AT254" s="1957"/>
      <c r="AU254" s="1957"/>
      <c r="AV254" s="1957"/>
      <c r="AW254" s="1957"/>
      <c r="AX254" s="1957"/>
      <c r="AY254" s="1957"/>
      <c r="AZ254" s="1957"/>
      <c r="BA254" s="1957"/>
      <c r="BB254" s="1957"/>
    </row>
    <row r="255" ht="16.5" customHeight="1">
      <c r="A255" s="2284"/>
      <c r="B255" s="2280"/>
      <c r="C255" s="2280"/>
      <c r="D255" s="2280"/>
      <c r="E255" s="2280"/>
      <c r="F255" s="2280"/>
      <c r="G255" s="2280"/>
      <c r="H255" s="2280"/>
      <c r="I255" s="2280"/>
      <c r="J255" s="2280"/>
      <c r="K255" s="2280"/>
      <c r="L255" s="2280"/>
      <c r="M255" s="2280"/>
      <c r="N255" s="2280"/>
      <c r="O255" s="2280"/>
      <c r="P255" s="2280"/>
      <c r="Q255" s="2280"/>
      <c r="R255" s="2280"/>
      <c r="S255" s="2280"/>
      <c r="T255" s="2280"/>
      <c r="U255" s="2280"/>
      <c r="V255" s="2280"/>
      <c r="W255" s="2280"/>
      <c r="X255" s="2280"/>
      <c r="Y255" s="2280"/>
      <c r="Z255" s="2280"/>
      <c r="AA255" s="2280"/>
      <c r="AB255" s="2280"/>
      <c r="AC255" s="2280"/>
      <c r="AD255" s="2280"/>
      <c r="AE255" s="2280"/>
      <c r="AF255" s="2280"/>
      <c r="AG255" s="2280"/>
      <c r="AH255" s="2280"/>
      <c r="AI255" s="2280"/>
      <c r="AJ255" s="2280"/>
      <c r="AK255" s="2280"/>
      <c r="AL255" s="2280"/>
      <c r="AM255" s="2280"/>
      <c r="AN255" s="1957"/>
      <c r="AO255" s="1957"/>
      <c r="AP255" s="1957"/>
      <c r="AQ255" s="1957"/>
      <c r="AR255" s="1957"/>
      <c r="AS255" s="1957"/>
      <c r="AT255" s="1957"/>
      <c r="AU255" s="1957"/>
      <c r="AV255" s="1957"/>
      <c r="AW255" s="1957"/>
      <c r="AX255" s="1957"/>
      <c r="AY255" s="1957"/>
      <c r="AZ255" s="1957"/>
      <c r="BA255" s="1957"/>
      <c r="BB255" s="1957"/>
    </row>
    <row r="256" ht="16.5" customHeight="1">
      <c r="A256" s="2284"/>
      <c r="B256" s="2280"/>
      <c r="C256" s="2280"/>
      <c r="D256" s="2280"/>
      <c r="E256" s="2280"/>
      <c r="F256" s="2280"/>
      <c r="G256" s="2280"/>
      <c r="H256" s="2280"/>
      <c r="I256" s="2280"/>
      <c r="J256" s="2280"/>
      <c r="K256" s="2280"/>
      <c r="L256" s="2280"/>
      <c r="M256" s="2280"/>
      <c r="N256" s="2280"/>
      <c r="O256" s="2280"/>
      <c r="P256" s="2280"/>
      <c r="Q256" s="2280"/>
      <c r="R256" s="2280"/>
      <c r="S256" s="2280"/>
      <c r="T256" s="2280"/>
      <c r="U256" s="2280"/>
      <c r="V256" s="2280"/>
      <c r="W256" s="2280"/>
      <c r="X256" s="2280"/>
      <c r="Y256" s="2280"/>
      <c r="Z256" s="2280"/>
      <c r="AA256" s="2280"/>
      <c r="AB256" s="2280"/>
      <c r="AC256" s="2280"/>
      <c r="AD256" s="2280"/>
      <c r="AE256" s="2280"/>
      <c r="AF256" s="2280"/>
      <c r="AG256" s="2280"/>
      <c r="AH256" s="2280"/>
      <c r="AI256" s="2280"/>
      <c r="AJ256" s="2280"/>
      <c r="AK256" s="2280"/>
      <c r="AL256" s="2280"/>
      <c r="AM256" s="2280"/>
      <c r="AN256" s="1957"/>
      <c r="AO256" s="1957"/>
      <c r="AP256" s="1957"/>
      <c r="AQ256" s="1957"/>
      <c r="AR256" s="1957"/>
      <c r="AS256" s="1957"/>
      <c r="AT256" s="1957"/>
      <c r="AU256" s="1957"/>
      <c r="AV256" s="1957"/>
      <c r="AW256" s="1957"/>
      <c r="AX256" s="1957"/>
      <c r="AY256" s="1957"/>
      <c r="AZ256" s="1957"/>
      <c r="BA256" s="1957"/>
      <c r="BB256" s="1957"/>
    </row>
    <row r="257" ht="16.5" customHeight="1">
      <c r="A257" s="2284"/>
      <c r="B257" s="2280"/>
      <c r="C257" s="2280"/>
      <c r="D257" s="2280"/>
      <c r="E257" s="2280"/>
      <c r="F257" s="2280"/>
      <c r="G257" s="2280"/>
      <c r="H257" s="2280"/>
      <c r="I257" s="2280"/>
      <c r="J257" s="2280"/>
      <c r="K257" s="2280"/>
      <c r="L257" s="2280"/>
      <c r="M257" s="2280"/>
      <c r="N257" s="2280"/>
      <c r="O257" s="2280"/>
      <c r="P257" s="2280"/>
      <c r="Q257" s="2280"/>
      <c r="R257" s="2280"/>
      <c r="S257" s="2280"/>
      <c r="T257" s="2280"/>
      <c r="U257" s="2280"/>
      <c r="V257" s="2280"/>
      <c r="W257" s="2280"/>
      <c r="X257" s="2280"/>
      <c r="Y257" s="2280"/>
      <c r="Z257" s="2280"/>
      <c r="AA257" s="2280"/>
      <c r="AB257" s="2280"/>
      <c r="AC257" s="2280"/>
      <c r="AD257" s="2280"/>
      <c r="AE257" s="2280"/>
      <c r="AF257" s="2280"/>
      <c r="AG257" s="2280"/>
      <c r="AH257" s="2280"/>
      <c r="AI257" s="2280"/>
      <c r="AJ257" s="2280"/>
      <c r="AK257" s="2280"/>
      <c r="AL257" s="2280"/>
      <c r="AM257" s="2280"/>
      <c r="AN257" s="1957"/>
      <c r="AO257" s="1957"/>
      <c r="AP257" s="1957"/>
      <c r="AQ257" s="1957"/>
      <c r="AR257" s="1957"/>
      <c r="AS257" s="1957"/>
      <c r="AT257" s="1957"/>
      <c r="AU257" s="1957"/>
      <c r="AV257" s="1957"/>
      <c r="AW257" s="1957"/>
      <c r="AX257" s="1957"/>
      <c r="AY257" s="1957"/>
      <c r="AZ257" s="1957"/>
      <c r="BA257" s="1957"/>
      <c r="BB257" s="1957"/>
    </row>
    <row r="258" ht="16.5" customHeight="1">
      <c r="A258" s="2284"/>
      <c r="B258" s="2280"/>
      <c r="C258" s="2280"/>
      <c r="D258" s="2280"/>
      <c r="E258" s="2280"/>
      <c r="F258" s="2280"/>
      <c r="G258" s="2280"/>
      <c r="H258" s="2280"/>
      <c r="I258" s="2280"/>
      <c r="J258" s="2280"/>
      <c r="K258" s="2280"/>
      <c r="L258" s="2280"/>
      <c r="M258" s="2280"/>
      <c r="N258" s="2280"/>
      <c r="O258" s="2280"/>
      <c r="P258" s="2280"/>
      <c r="Q258" s="2280"/>
      <c r="R258" s="2280"/>
      <c r="S258" s="2280"/>
      <c r="T258" s="2280"/>
      <c r="U258" s="2280"/>
      <c r="V258" s="2280"/>
      <c r="W258" s="2280"/>
      <c r="X258" s="2280"/>
      <c r="Y258" s="2280"/>
      <c r="Z258" s="2280"/>
      <c r="AA258" s="2280"/>
      <c r="AB258" s="2280"/>
      <c r="AC258" s="2280"/>
      <c r="AD258" s="2280"/>
      <c r="AE258" s="2280"/>
      <c r="AF258" s="2280"/>
      <c r="AG258" s="2280"/>
      <c r="AH258" s="2280"/>
      <c r="AI258" s="2280"/>
      <c r="AJ258" s="2280"/>
      <c r="AK258" s="2280"/>
      <c r="AL258" s="2280"/>
      <c r="AM258" s="2280"/>
      <c r="AN258" s="1957"/>
      <c r="AO258" s="1957"/>
      <c r="AP258" s="1957"/>
      <c r="AQ258" s="1957"/>
      <c r="AR258" s="1957"/>
      <c r="AS258" s="1957"/>
      <c r="AT258" s="1957"/>
      <c r="AU258" s="1957"/>
      <c r="AV258" s="1957"/>
      <c r="AW258" s="1957"/>
      <c r="AX258" s="1957"/>
      <c r="AY258" s="1957"/>
      <c r="AZ258" s="1957"/>
      <c r="BA258" s="1957"/>
      <c r="BB258" s="1957"/>
    </row>
    <row r="259" ht="16.5" customHeight="1">
      <c r="A259" s="2284"/>
      <c r="B259" s="2280"/>
      <c r="C259" s="2280"/>
      <c r="D259" s="2280"/>
      <c r="E259" s="2280"/>
      <c r="F259" s="2280"/>
      <c r="G259" s="2280"/>
      <c r="H259" s="2280"/>
      <c r="I259" s="2280"/>
      <c r="J259" s="2280"/>
      <c r="K259" s="2280"/>
      <c r="L259" s="2280"/>
      <c r="M259" s="2280"/>
      <c r="N259" s="2280"/>
      <c r="O259" s="2280"/>
      <c r="P259" s="2280"/>
      <c r="Q259" s="2280"/>
      <c r="R259" s="2280"/>
      <c r="S259" s="2280"/>
      <c r="T259" s="2280"/>
      <c r="U259" s="2280"/>
      <c r="V259" s="2280"/>
      <c r="W259" s="2280"/>
      <c r="X259" s="2280"/>
      <c r="Y259" s="2280"/>
      <c r="Z259" s="2280"/>
      <c r="AA259" s="2280"/>
      <c r="AB259" s="2280"/>
      <c r="AC259" s="2280"/>
      <c r="AD259" s="2280"/>
      <c r="AE259" s="2280"/>
      <c r="AF259" s="2280"/>
      <c r="AG259" s="2280"/>
      <c r="AH259" s="2280"/>
      <c r="AI259" s="2280"/>
      <c r="AJ259" s="2280"/>
      <c r="AK259" s="2280"/>
      <c r="AL259" s="2280"/>
      <c r="AM259" s="2280"/>
      <c r="AN259" s="1957"/>
      <c r="AO259" s="1957"/>
      <c r="AP259" s="1957"/>
      <c r="AQ259" s="1957"/>
      <c r="AR259" s="1957"/>
      <c r="AS259" s="1957"/>
      <c r="AT259" s="1957"/>
      <c r="AU259" s="1957"/>
      <c r="AV259" s="1957"/>
      <c r="AW259" s="1957"/>
      <c r="AX259" s="1957"/>
      <c r="AY259" s="1957"/>
      <c r="AZ259" s="1957"/>
      <c r="BA259" s="1957"/>
      <c r="BB259" s="1957"/>
    </row>
    <row r="260" ht="16.5" customHeight="1">
      <c r="A260" s="2284"/>
      <c r="B260" s="2280"/>
      <c r="C260" s="2280"/>
      <c r="D260" s="2280"/>
      <c r="E260" s="2280"/>
      <c r="F260" s="2280"/>
      <c r="G260" s="2280"/>
      <c r="H260" s="2280"/>
      <c r="I260" s="2280"/>
      <c r="J260" s="2280"/>
      <c r="K260" s="2280"/>
      <c r="L260" s="2280"/>
      <c r="M260" s="2280"/>
      <c r="N260" s="2280"/>
      <c r="O260" s="2280"/>
      <c r="P260" s="2280"/>
      <c r="Q260" s="2280"/>
      <c r="R260" s="2280"/>
      <c r="S260" s="2280"/>
      <c r="T260" s="2280"/>
      <c r="U260" s="2280"/>
      <c r="V260" s="2280"/>
      <c r="W260" s="2280"/>
      <c r="X260" s="2280"/>
      <c r="Y260" s="2280"/>
      <c r="Z260" s="2280"/>
      <c r="AA260" s="2280"/>
      <c r="AB260" s="2280"/>
      <c r="AC260" s="2280"/>
      <c r="AD260" s="2280"/>
      <c r="AE260" s="2280"/>
      <c r="AF260" s="2280"/>
      <c r="AG260" s="2280"/>
      <c r="AH260" s="2280"/>
      <c r="AI260" s="2280"/>
      <c r="AJ260" s="2280"/>
      <c r="AK260" s="2280"/>
      <c r="AL260" s="2280"/>
      <c r="AM260" s="2280"/>
      <c r="AN260" s="1957"/>
      <c r="AO260" s="1957"/>
      <c r="AP260" s="1957"/>
      <c r="AQ260" s="1957"/>
      <c r="AR260" s="1957"/>
      <c r="AS260" s="1957"/>
      <c r="AT260" s="1957"/>
      <c r="AU260" s="1957"/>
      <c r="AV260" s="1957"/>
      <c r="AW260" s="1957"/>
      <c r="AX260" s="1957"/>
      <c r="AY260" s="1957"/>
      <c r="AZ260" s="1957"/>
      <c r="BA260" s="1957"/>
      <c r="BB260" s="1957"/>
    </row>
    <row r="261" ht="16.5" customHeight="1">
      <c r="A261" s="2284"/>
      <c r="B261" s="2280"/>
      <c r="C261" s="2280"/>
      <c r="D261" s="2280"/>
      <c r="E261" s="2280"/>
      <c r="F261" s="2280"/>
      <c r="G261" s="2280"/>
      <c r="H261" s="2280"/>
      <c r="I261" s="2280"/>
      <c r="J261" s="2280"/>
      <c r="K261" s="2280"/>
      <c r="L261" s="2280"/>
      <c r="M261" s="2280"/>
      <c r="N261" s="2280"/>
      <c r="O261" s="2280"/>
      <c r="P261" s="2280"/>
      <c r="Q261" s="2280"/>
      <c r="R261" s="2280"/>
      <c r="S261" s="2280"/>
      <c r="T261" s="2280"/>
      <c r="U261" s="2280"/>
      <c r="V261" s="2280"/>
      <c r="W261" s="2280"/>
      <c r="X261" s="2280"/>
      <c r="Y261" s="2280"/>
      <c r="Z261" s="2280"/>
      <c r="AA261" s="2280"/>
      <c r="AB261" s="2280"/>
      <c r="AC261" s="2280"/>
      <c r="AD261" s="2280"/>
      <c r="AE261" s="2280"/>
      <c r="AF261" s="2280"/>
      <c r="AG261" s="2280"/>
      <c r="AH261" s="2280"/>
      <c r="AI261" s="2280"/>
      <c r="AJ261" s="2280"/>
      <c r="AK261" s="2280"/>
      <c r="AL261" s="2280"/>
      <c r="AM261" s="2280"/>
      <c r="AN261" s="1957"/>
      <c r="AO261" s="1957"/>
      <c r="AP261" s="1957"/>
      <c r="AQ261" s="1957"/>
      <c r="AR261" s="1957"/>
      <c r="AS261" s="1957"/>
      <c r="AT261" s="1957"/>
      <c r="AU261" s="1957"/>
      <c r="AV261" s="1957"/>
      <c r="AW261" s="1957"/>
      <c r="AX261" s="1957"/>
      <c r="AY261" s="1957"/>
      <c r="AZ261" s="1957"/>
      <c r="BA261" s="1957"/>
      <c r="BB261" s="1957"/>
    </row>
    <row r="262" ht="16.5" customHeight="1">
      <c r="A262" s="2284"/>
      <c r="B262" s="2280"/>
      <c r="C262" s="2280"/>
      <c r="D262" s="2280"/>
      <c r="E262" s="2280"/>
      <c r="F262" s="2280"/>
      <c r="G262" s="2280"/>
      <c r="H262" s="2280"/>
      <c r="I262" s="2280"/>
      <c r="J262" s="2280"/>
      <c r="K262" s="2280"/>
      <c r="L262" s="2280"/>
      <c r="M262" s="2280"/>
      <c r="N262" s="2280"/>
      <c r="O262" s="2280"/>
      <c r="P262" s="2280"/>
      <c r="Q262" s="2280"/>
      <c r="R262" s="2280"/>
      <c r="S262" s="2280"/>
      <c r="T262" s="2280"/>
      <c r="U262" s="2280"/>
      <c r="V262" s="2280"/>
      <c r="W262" s="2280"/>
      <c r="X262" s="2280"/>
      <c r="Y262" s="2280"/>
      <c r="Z262" s="2280"/>
      <c r="AA262" s="2280"/>
      <c r="AB262" s="2280"/>
      <c r="AC262" s="2280"/>
      <c r="AD262" s="2280"/>
      <c r="AE262" s="2280"/>
      <c r="AF262" s="2280"/>
      <c r="AG262" s="2280"/>
      <c r="AH262" s="2280"/>
      <c r="AI262" s="2280"/>
      <c r="AJ262" s="2280"/>
      <c r="AK262" s="2280"/>
      <c r="AL262" s="2280"/>
      <c r="AM262" s="2280"/>
      <c r="AN262" s="1957"/>
      <c r="AO262" s="1957"/>
      <c r="AP262" s="1957"/>
      <c r="AQ262" s="1957"/>
      <c r="AR262" s="1957"/>
      <c r="AS262" s="1957"/>
      <c r="AT262" s="1957"/>
      <c r="AU262" s="1957"/>
      <c r="AV262" s="1957"/>
      <c r="AW262" s="1957"/>
      <c r="AX262" s="1957"/>
      <c r="AY262" s="1957"/>
      <c r="AZ262" s="1957"/>
      <c r="BA262" s="1957"/>
      <c r="BB262" s="1957"/>
    </row>
    <row r="263" ht="16.5" customHeight="1">
      <c r="A263" s="2284"/>
      <c r="B263" s="2280"/>
      <c r="C263" s="2280"/>
      <c r="D263" s="2280"/>
      <c r="E263" s="2280"/>
      <c r="F263" s="2280"/>
      <c r="G263" s="2280"/>
      <c r="H263" s="2280"/>
      <c r="I263" s="2280"/>
      <c r="J263" s="2280"/>
      <c r="K263" s="2280"/>
      <c r="L263" s="2280"/>
      <c r="M263" s="2280"/>
      <c r="N263" s="2280"/>
      <c r="O263" s="2280"/>
      <c r="P263" s="2280"/>
      <c r="Q263" s="2280"/>
      <c r="R263" s="2280"/>
      <c r="S263" s="2280"/>
      <c r="T263" s="2280"/>
      <c r="U263" s="2280"/>
      <c r="V263" s="2280"/>
      <c r="W263" s="2280"/>
      <c r="X263" s="2280"/>
      <c r="Y263" s="2280"/>
      <c r="Z263" s="2280"/>
      <c r="AA263" s="2280"/>
      <c r="AB263" s="2280"/>
      <c r="AC263" s="2280"/>
      <c r="AD263" s="2280"/>
      <c r="AE263" s="2280"/>
      <c r="AF263" s="2280"/>
      <c r="AG263" s="2280"/>
      <c r="AH263" s="2280"/>
      <c r="AI263" s="2280"/>
      <c r="AJ263" s="2280"/>
      <c r="AK263" s="2280"/>
      <c r="AL263" s="2280"/>
      <c r="AM263" s="2280"/>
      <c r="AN263" s="1957"/>
      <c r="AO263" s="1957"/>
      <c r="AP263" s="1957"/>
      <c r="AQ263" s="1957"/>
      <c r="AR263" s="1957"/>
      <c r="AS263" s="1957"/>
      <c r="AT263" s="1957"/>
      <c r="AU263" s="1957"/>
      <c r="AV263" s="1957"/>
      <c r="AW263" s="1957"/>
      <c r="AX263" s="1957"/>
      <c r="AY263" s="1957"/>
      <c r="AZ263" s="1957"/>
      <c r="BA263" s="1957"/>
      <c r="BB263" s="1957"/>
    </row>
    <row r="264" ht="16.5" customHeight="1">
      <c r="A264" s="2284"/>
      <c r="B264" s="2280"/>
      <c r="C264" s="2280"/>
      <c r="D264" s="2280"/>
      <c r="E264" s="2280"/>
      <c r="F264" s="2280"/>
      <c r="G264" s="2280"/>
      <c r="H264" s="2280"/>
      <c r="I264" s="2280"/>
      <c r="J264" s="2280"/>
      <c r="K264" s="2280"/>
      <c r="L264" s="2280"/>
      <c r="M264" s="2280"/>
      <c r="N264" s="2280"/>
      <c r="O264" s="2280"/>
      <c r="P264" s="2280"/>
      <c r="Q264" s="2280"/>
      <c r="R264" s="2280"/>
      <c r="S264" s="2280"/>
      <c r="T264" s="2280"/>
      <c r="U264" s="2280"/>
      <c r="V264" s="2280"/>
      <c r="W264" s="2280"/>
      <c r="X264" s="2280"/>
      <c r="Y264" s="2280"/>
      <c r="Z264" s="2280"/>
      <c r="AA264" s="2280"/>
      <c r="AB264" s="2280"/>
      <c r="AC264" s="2280"/>
      <c r="AD264" s="2280"/>
      <c r="AE264" s="2280"/>
      <c r="AF264" s="2280"/>
      <c r="AG264" s="2280"/>
      <c r="AH264" s="2280"/>
      <c r="AI264" s="2280"/>
      <c r="AJ264" s="2280"/>
      <c r="AK264" s="2280"/>
      <c r="AL264" s="2280"/>
      <c r="AM264" s="2280"/>
      <c r="AN264" s="1957"/>
      <c r="AO264" s="1957"/>
      <c r="AP264" s="1957"/>
      <c r="AQ264" s="1957"/>
      <c r="AR264" s="1957"/>
      <c r="AS264" s="1957"/>
      <c r="AT264" s="1957"/>
      <c r="AU264" s="1957"/>
      <c r="AV264" s="1957"/>
      <c r="AW264" s="1957"/>
      <c r="AX264" s="1957"/>
      <c r="AY264" s="1957"/>
      <c r="AZ264" s="1957"/>
      <c r="BA264" s="1957"/>
      <c r="BB264" s="1957"/>
    </row>
    <row r="265" ht="16.5" customHeight="1">
      <c r="A265" s="2280"/>
      <c r="B265" s="2280"/>
      <c r="C265" s="2280"/>
      <c r="D265" s="2280"/>
      <c r="E265" s="2280"/>
      <c r="F265" s="2280"/>
      <c r="G265" s="2280"/>
      <c r="H265" s="2280"/>
      <c r="I265" s="2280"/>
      <c r="J265" s="2280"/>
      <c r="K265" s="2280"/>
      <c r="L265" s="2280"/>
      <c r="M265" s="2280"/>
      <c r="N265" s="2280"/>
      <c r="O265" s="2280"/>
      <c r="P265" s="2280"/>
      <c r="Q265" s="2280"/>
      <c r="R265" s="2280"/>
      <c r="S265" s="2280"/>
      <c r="T265" s="2280"/>
      <c r="U265" s="2280"/>
      <c r="V265" s="2280"/>
      <c r="W265" s="2280"/>
      <c r="X265" s="2280"/>
      <c r="Y265" s="2280"/>
      <c r="Z265" s="2280"/>
      <c r="AA265" s="2280"/>
      <c r="AB265" s="2280"/>
      <c r="AC265" s="2280"/>
      <c r="AD265" s="2280"/>
      <c r="AE265" s="2280"/>
      <c r="AF265" s="2280"/>
      <c r="AG265" s="2280"/>
      <c r="AH265" s="2280"/>
      <c r="AI265" s="2280"/>
      <c r="AJ265" s="2280"/>
      <c r="AK265" s="2280"/>
      <c r="AL265" s="2280"/>
      <c r="AM265" s="2280"/>
      <c r="AN265" s="1957"/>
      <c r="AO265" s="1957"/>
      <c r="AP265" s="1957"/>
      <c r="AQ265" s="1957"/>
      <c r="AR265" s="1957"/>
      <c r="AS265" s="1957"/>
      <c r="AT265" s="1957"/>
      <c r="AU265" s="1957"/>
      <c r="AV265" s="1957"/>
      <c r="AW265" s="1957"/>
      <c r="AX265" s="1957"/>
      <c r="AY265" s="1957"/>
      <c r="AZ265" s="1957"/>
      <c r="BA265" s="1957"/>
      <c r="BB265" s="1957"/>
    </row>
    <row r="266" ht="16.5" customHeight="1">
      <c r="A266" s="2280"/>
      <c r="B266" s="2280"/>
      <c r="C266" s="2280"/>
      <c r="D266" s="2280"/>
      <c r="E266" s="2280"/>
      <c r="F266" s="2280"/>
      <c r="G266" s="2280"/>
      <c r="H266" s="2280"/>
      <c r="I266" s="2280"/>
      <c r="J266" s="2280"/>
      <c r="K266" s="2280"/>
      <c r="L266" s="2280"/>
      <c r="M266" s="2280"/>
      <c r="N266" s="2280"/>
      <c r="O266" s="2280"/>
      <c r="P266" s="2280"/>
      <c r="Q266" s="2280"/>
      <c r="R266" s="2280"/>
      <c r="S266" s="2280"/>
      <c r="T266" s="2280"/>
      <c r="U266" s="2280"/>
      <c r="V266" s="2280"/>
      <c r="W266" s="2280"/>
      <c r="X266" s="2280"/>
      <c r="Y266" s="2280"/>
      <c r="Z266" s="2280"/>
      <c r="AA266" s="2280"/>
      <c r="AB266" s="2280"/>
      <c r="AC266" s="2280"/>
      <c r="AD266" s="2280"/>
      <c r="AE266" s="2280"/>
      <c r="AF266" s="2280"/>
      <c r="AG266" s="2280"/>
      <c r="AH266" s="2280"/>
      <c r="AI266" s="2280"/>
      <c r="AJ266" s="2280"/>
      <c r="AK266" s="2280"/>
      <c r="AL266" s="2280"/>
      <c r="AM266" s="2280"/>
      <c r="AN266" s="1957"/>
      <c r="AO266" s="1957"/>
      <c r="AP266" s="1957"/>
      <c r="AQ266" s="1957"/>
      <c r="AR266" s="1957"/>
      <c r="AS266" s="1957"/>
      <c r="AT266" s="1957"/>
      <c r="AU266" s="1957"/>
      <c r="AV266" s="1957"/>
      <c r="AW266" s="1957"/>
      <c r="AX266" s="1957"/>
      <c r="AY266" s="1957"/>
      <c r="AZ266" s="1957"/>
      <c r="BA266" s="1957"/>
      <c r="BB266" s="1957"/>
    </row>
    <row r="267" ht="16.5" customHeight="1">
      <c r="A267" s="2280"/>
      <c r="B267" s="2280"/>
      <c r="C267" s="2280"/>
      <c r="D267" s="2280"/>
      <c r="E267" s="2280"/>
      <c r="F267" s="2280"/>
      <c r="G267" s="2280"/>
      <c r="H267" s="2280"/>
      <c r="I267" s="2280"/>
      <c r="J267" s="2280"/>
      <c r="K267" s="2280"/>
      <c r="L267" s="2280"/>
      <c r="M267" s="2280"/>
      <c r="N267" s="2280"/>
      <c r="O267" s="2280"/>
      <c r="P267" s="2280"/>
      <c r="Q267" s="2280"/>
      <c r="R267" s="2280"/>
      <c r="S267" s="2280"/>
      <c r="T267" s="2280"/>
      <c r="U267" s="2280"/>
      <c r="V267" s="2280"/>
      <c r="W267" s="2280"/>
      <c r="X267" s="2280"/>
      <c r="Y267" s="2280"/>
      <c r="Z267" s="2280"/>
      <c r="AA267" s="2280"/>
      <c r="AB267" s="2280"/>
      <c r="AC267" s="2280"/>
      <c r="AD267" s="2280"/>
      <c r="AE267" s="2280"/>
      <c r="AF267" s="2280"/>
      <c r="AG267" s="2280"/>
      <c r="AH267" s="2280"/>
      <c r="AI267" s="2280"/>
      <c r="AJ267" s="2280"/>
      <c r="AK267" s="2280"/>
      <c r="AL267" s="2280"/>
      <c r="AM267" s="2280"/>
      <c r="AN267" s="1957"/>
      <c r="AO267" s="1957"/>
      <c r="AP267" s="1957"/>
      <c r="AQ267" s="1957"/>
      <c r="AR267" s="1957"/>
      <c r="AS267" s="1957"/>
      <c r="AT267" s="1957"/>
      <c r="AU267" s="1957"/>
      <c r="AV267" s="1957"/>
      <c r="AW267" s="1957"/>
      <c r="AX267" s="1957"/>
      <c r="AY267" s="1957"/>
      <c r="AZ267" s="1957"/>
      <c r="BA267" s="1957"/>
      <c r="BB267" s="1957"/>
    </row>
    <row r="268" ht="16.5" customHeight="1">
      <c r="A268" s="2280"/>
      <c r="B268" s="2280"/>
      <c r="C268" s="2280"/>
      <c r="D268" s="2280"/>
      <c r="E268" s="2280"/>
      <c r="F268" s="2280"/>
      <c r="G268" s="2280"/>
      <c r="H268" s="2280"/>
      <c r="I268" s="2280"/>
      <c r="J268" s="2280"/>
      <c r="K268" s="2280"/>
      <c r="L268" s="2280"/>
      <c r="M268" s="2280"/>
      <c r="N268" s="2280"/>
      <c r="O268" s="2280"/>
      <c r="P268" s="2280"/>
      <c r="Q268" s="2280"/>
      <c r="R268" s="2280"/>
      <c r="S268" s="2280"/>
      <c r="T268" s="2280"/>
      <c r="U268" s="2280"/>
      <c r="V268" s="2280"/>
      <c r="W268" s="2280"/>
      <c r="X268" s="2280"/>
      <c r="Y268" s="2280"/>
      <c r="Z268" s="2280"/>
      <c r="AA268" s="2280"/>
      <c r="AB268" s="2280"/>
      <c r="AC268" s="2280"/>
      <c r="AD268" s="2280"/>
      <c r="AE268" s="2280"/>
      <c r="AF268" s="2280"/>
      <c r="AG268" s="2280"/>
      <c r="AH268" s="2280"/>
      <c r="AI268" s="2280"/>
      <c r="AJ268" s="2280"/>
      <c r="AK268" s="2280"/>
      <c r="AL268" s="2280"/>
      <c r="AM268" s="2280"/>
      <c r="AN268" s="1957"/>
      <c r="AO268" s="1957"/>
      <c r="AP268" s="1957"/>
      <c r="AQ268" s="1957"/>
      <c r="AR268" s="1957"/>
      <c r="AS268" s="1957"/>
      <c r="AT268" s="1957"/>
      <c r="AU268" s="1957"/>
      <c r="AV268" s="1957"/>
      <c r="AW268" s="1957"/>
      <c r="AX268" s="1957"/>
      <c r="AY268" s="1957"/>
      <c r="AZ268" s="1957"/>
      <c r="BA268" s="1957"/>
      <c r="BB268" s="1957"/>
    </row>
    <row r="269" ht="16.5" customHeight="1">
      <c r="A269" s="2280"/>
      <c r="B269" s="2280"/>
      <c r="C269" s="2280"/>
      <c r="D269" s="2280"/>
      <c r="E269" s="2280"/>
      <c r="F269" s="2280"/>
      <c r="G269" s="2280"/>
      <c r="H269" s="2280"/>
      <c r="I269" s="2280"/>
      <c r="J269" s="2280"/>
      <c r="K269" s="2280"/>
      <c r="L269" s="2280"/>
      <c r="M269" s="2280"/>
      <c r="N269" s="2280"/>
      <c r="O269" s="2280"/>
      <c r="P269" s="2280"/>
      <c r="Q269" s="2280"/>
      <c r="R269" s="2280"/>
      <c r="S269" s="2280"/>
      <c r="T269" s="2280"/>
      <c r="U269" s="2280"/>
      <c r="V269" s="2280"/>
      <c r="W269" s="2280"/>
      <c r="X269" s="2280"/>
      <c r="Y269" s="2280"/>
      <c r="Z269" s="2280"/>
      <c r="AA269" s="2280"/>
      <c r="AB269" s="2280"/>
      <c r="AC269" s="2280"/>
      <c r="AD269" s="2280"/>
      <c r="AE269" s="2280"/>
      <c r="AF269" s="2280"/>
      <c r="AG269" s="2280"/>
      <c r="AH269" s="2280"/>
      <c r="AI269" s="2280"/>
      <c r="AJ269" s="2280"/>
      <c r="AK269" s="2280"/>
      <c r="AL269" s="2280"/>
      <c r="AM269" s="2280"/>
      <c r="AN269" s="1957"/>
      <c r="AO269" s="1957"/>
      <c r="AP269" s="1957"/>
      <c r="AQ269" s="1957"/>
      <c r="AR269" s="1957"/>
      <c r="AS269" s="1957"/>
      <c r="AT269" s="1957"/>
      <c r="AU269" s="1957"/>
      <c r="AV269" s="1957"/>
      <c r="AW269" s="1957"/>
      <c r="AX269" s="1957"/>
      <c r="AY269" s="1957"/>
      <c r="AZ269" s="1957"/>
      <c r="BA269" s="1957"/>
      <c r="BB269" s="1957"/>
    </row>
    <row r="270" ht="16.5" customHeight="1">
      <c r="A270" s="2280"/>
      <c r="B270" s="2280"/>
      <c r="C270" s="2280"/>
      <c r="D270" s="2280"/>
      <c r="E270" s="2280"/>
      <c r="F270" s="2280"/>
      <c r="G270" s="2280"/>
      <c r="H270" s="2280"/>
      <c r="I270" s="2280"/>
      <c r="J270" s="2280"/>
      <c r="K270" s="2280"/>
      <c r="L270" s="2280"/>
      <c r="M270" s="2280"/>
      <c r="N270" s="2280"/>
      <c r="O270" s="2280"/>
      <c r="P270" s="2280"/>
      <c r="Q270" s="2280"/>
      <c r="R270" s="2280"/>
      <c r="S270" s="2280"/>
      <c r="T270" s="2280"/>
      <c r="U270" s="2280"/>
      <c r="V270" s="2280"/>
      <c r="W270" s="2280"/>
      <c r="X270" s="2280"/>
      <c r="Y270" s="2280"/>
      <c r="Z270" s="2280"/>
      <c r="AA270" s="2280"/>
      <c r="AB270" s="2280"/>
      <c r="AC270" s="2280"/>
      <c r="AD270" s="2280"/>
      <c r="AE270" s="2280"/>
      <c r="AF270" s="2280"/>
      <c r="AG270" s="2280"/>
      <c r="AH270" s="2280"/>
      <c r="AI270" s="2280"/>
      <c r="AJ270" s="2280"/>
      <c r="AK270" s="2280"/>
      <c r="AL270" s="2280"/>
      <c r="AM270" s="2280"/>
      <c r="AN270" s="1957"/>
      <c r="AO270" s="1957"/>
      <c r="AP270" s="1957"/>
      <c r="AQ270" s="1957"/>
      <c r="AR270" s="1957"/>
      <c r="AS270" s="1957"/>
      <c r="AT270" s="1957"/>
      <c r="AU270" s="1957"/>
      <c r="AV270" s="1957"/>
      <c r="AW270" s="1957"/>
      <c r="AX270" s="1957"/>
      <c r="AY270" s="1957"/>
      <c r="AZ270" s="1957"/>
      <c r="BA270" s="1957"/>
      <c r="BB270" s="1957"/>
    </row>
    <row r="271" ht="16.5" customHeight="1">
      <c r="A271" s="2280"/>
      <c r="B271" s="2280"/>
      <c r="C271" s="2280"/>
      <c r="D271" s="2280"/>
      <c r="E271" s="2280"/>
      <c r="F271" s="2280"/>
      <c r="G271" s="2280"/>
      <c r="H271" s="2280"/>
      <c r="I271" s="2280"/>
      <c r="J271" s="2280"/>
      <c r="K271" s="2280"/>
      <c r="L271" s="2280"/>
      <c r="M271" s="2280"/>
      <c r="N271" s="2280"/>
      <c r="O271" s="2280"/>
      <c r="P271" s="2280"/>
      <c r="Q271" s="2280"/>
      <c r="R271" s="2280"/>
      <c r="S271" s="2280"/>
      <c r="T271" s="2280"/>
      <c r="U271" s="2280"/>
      <c r="V271" s="2280"/>
      <c r="W271" s="2280"/>
      <c r="X271" s="2280"/>
      <c r="Y271" s="2280"/>
      <c r="Z271" s="2280"/>
      <c r="AA271" s="2280"/>
      <c r="AB271" s="2280"/>
      <c r="AC271" s="2280"/>
      <c r="AD271" s="2280"/>
      <c r="AE271" s="2280"/>
      <c r="AF271" s="2280"/>
      <c r="AG271" s="2280"/>
      <c r="AH271" s="2280"/>
      <c r="AI271" s="2280"/>
      <c r="AJ271" s="2280"/>
      <c r="AK271" s="2280"/>
      <c r="AL271" s="2280"/>
      <c r="AM271" s="2280"/>
      <c r="AN271" s="1957"/>
      <c r="AO271" s="1957"/>
      <c r="AP271" s="1957"/>
      <c r="AQ271" s="1957"/>
      <c r="AR271" s="1957"/>
      <c r="AS271" s="1957"/>
      <c r="AT271" s="1957"/>
      <c r="AU271" s="1957"/>
      <c r="AV271" s="1957"/>
      <c r="AW271" s="1957"/>
      <c r="AX271" s="1957"/>
      <c r="AY271" s="1957"/>
      <c r="AZ271" s="1957"/>
      <c r="BA271" s="1957"/>
      <c r="BB271" s="1957"/>
    </row>
    <row r="272" ht="16.5" customHeight="1">
      <c r="A272" s="2280"/>
      <c r="B272" s="2280"/>
      <c r="C272" s="2280"/>
      <c r="D272" s="2280"/>
      <c r="E272" s="2280"/>
      <c r="F272" s="2280"/>
      <c r="G272" s="2280"/>
      <c r="H272" s="2280"/>
      <c r="I272" s="2280"/>
      <c r="J272" s="2280"/>
      <c r="K272" s="2280"/>
      <c r="L272" s="2280"/>
      <c r="M272" s="2280"/>
      <c r="N272" s="2280"/>
      <c r="O272" s="2280"/>
      <c r="P272" s="2280"/>
      <c r="Q272" s="2280"/>
      <c r="R272" s="2280"/>
      <c r="S272" s="2280"/>
      <c r="T272" s="2280"/>
      <c r="U272" s="2280"/>
      <c r="V272" s="2280"/>
      <c r="W272" s="2280"/>
      <c r="X272" s="2280"/>
      <c r="Y272" s="2280"/>
      <c r="Z272" s="2280"/>
      <c r="AA272" s="2280"/>
      <c r="AB272" s="2280"/>
      <c r="AC272" s="2280"/>
      <c r="AD272" s="2280"/>
      <c r="AE272" s="2280"/>
      <c r="AF272" s="2280"/>
      <c r="AG272" s="2280"/>
      <c r="AH272" s="2280"/>
      <c r="AI272" s="2280"/>
      <c r="AJ272" s="2280"/>
      <c r="AK272" s="2280"/>
      <c r="AL272" s="2280"/>
      <c r="AM272" s="2280"/>
      <c r="AN272" s="1957"/>
      <c r="AO272" s="1957"/>
      <c r="AP272" s="1957"/>
      <c r="AQ272" s="1957"/>
      <c r="AR272" s="1957"/>
      <c r="AS272" s="1957"/>
      <c r="AT272" s="1957"/>
      <c r="AU272" s="1957"/>
      <c r="AV272" s="1957"/>
      <c r="AW272" s="1957"/>
      <c r="AX272" s="1957"/>
      <c r="AY272" s="1957"/>
      <c r="AZ272" s="1957"/>
      <c r="BA272" s="1957"/>
      <c r="BB272" s="1957"/>
    </row>
    <row r="273" ht="16.5" customHeight="1">
      <c r="A273" s="2280"/>
      <c r="B273" s="2280"/>
      <c r="C273" s="2280"/>
      <c r="D273" s="2280"/>
      <c r="E273" s="2280"/>
      <c r="F273" s="2280"/>
      <c r="G273" s="2280"/>
      <c r="H273" s="2280"/>
      <c r="I273" s="2280"/>
      <c r="J273" s="2280"/>
      <c r="K273" s="2280"/>
      <c r="L273" s="2280"/>
      <c r="M273" s="2280"/>
      <c r="N273" s="2280"/>
      <c r="O273" s="2280"/>
      <c r="P273" s="2280"/>
      <c r="Q273" s="2280"/>
      <c r="R273" s="2280"/>
      <c r="S273" s="2280"/>
      <c r="T273" s="2280"/>
      <c r="U273" s="2280"/>
      <c r="V273" s="2280"/>
      <c r="W273" s="2280"/>
      <c r="X273" s="2280"/>
      <c r="Y273" s="2280"/>
      <c r="Z273" s="2280"/>
      <c r="AA273" s="2280"/>
      <c r="AB273" s="2280"/>
      <c r="AC273" s="2280"/>
      <c r="AD273" s="2280"/>
      <c r="AE273" s="2280"/>
      <c r="AF273" s="2280"/>
      <c r="AG273" s="2280"/>
      <c r="AH273" s="2280"/>
      <c r="AI273" s="2280"/>
      <c r="AJ273" s="2280"/>
      <c r="AK273" s="2280"/>
      <c r="AL273" s="2280"/>
      <c r="AM273" s="2280"/>
      <c r="AN273" s="1957"/>
      <c r="AO273" s="1957"/>
      <c r="AP273" s="1957"/>
      <c r="AQ273" s="1957"/>
      <c r="AR273" s="1957"/>
      <c r="AS273" s="1957"/>
      <c r="AT273" s="1957"/>
      <c r="AU273" s="1957"/>
      <c r="AV273" s="1957"/>
      <c r="AW273" s="1957"/>
      <c r="AX273" s="1957"/>
      <c r="AY273" s="1957"/>
      <c r="AZ273" s="1957"/>
      <c r="BA273" s="1957"/>
      <c r="BB273" s="1957"/>
    </row>
    <row r="274" ht="16.5" customHeight="1">
      <c r="A274" s="2280"/>
      <c r="B274" s="2280"/>
      <c r="C274" s="2280"/>
      <c r="D274" s="2280"/>
      <c r="E274" s="2280"/>
      <c r="F274" s="2280"/>
      <c r="G274" s="2280"/>
      <c r="H274" s="2280"/>
      <c r="I274" s="2280"/>
      <c r="J274" s="2280"/>
      <c r="K274" s="2280"/>
      <c r="L274" s="2280"/>
      <c r="M274" s="2280"/>
      <c r="N274" s="2280"/>
      <c r="O274" s="2280"/>
      <c r="P274" s="2280"/>
      <c r="Q274" s="2280"/>
      <c r="R274" s="2280"/>
      <c r="S274" s="2280"/>
      <c r="T274" s="2280"/>
      <c r="U274" s="2280"/>
      <c r="V274" s="2280"/>
      <c r="W274" s="2280"/>
      <c r="X274" s="2280"/>
      <c r="Y274" s="2280"/>
      <c r="Z274" s="2280"/>
      <c r="AA274" s="2280"/>
      <c r="AB274" s="2280"/>
      <c r="AC274" s="2280"/>
      <c r="AD274" s="2280"/>
      <c r="AE274" s="2280"/>
      <c r="AF274" s="2280"/>
      <c r="AG274" s="2280"/>
      <c r="AH274" s="2280"/>
      <c r="AI274" s="2280"/>
      <c r="AJ274" s="2280"/>
      <c r="AK274" s="2280"/>
      <c r="AL274" s="2280"/>
      <c r="AM274" s="2280"/>
      <c r="AN274" s="1957"/>
      <c r="AO274" s="1957"/>
      <c r="AP274" s="1957"/>
      <c r="AQ274" s="1957"/>
      <c r="AR274" s="1957"/>
      <c r="AS274" s="1957"/>
      <c r="AT274" s="1957"/>
      <c r="AU274" s="1957"/>
      <c r="AV274" s="1957"/>
      <c r="AW274" s="1957"/>
      <c r="AX274" s="1957"/>
      <c r="AY274" s="1957"/>
      <c r="AZ274" s="1957"/>
      <c r="BA274" s="1957"/>
      <c r="BB274" s="1957"/>
    </row>
    <row r="275" ht="16.5" customHeight="1">
      <c r="A275" s="2280"/>
      <c r="B275" s="2280"/>
      <c r="C275" s="2280"/>
      <c r="D275" s="2280"/>
      <c r="E275" s="2280"/>
      <c r="F275" s="2280"/>
      <c r="G275" s="2280"/>
      <c r="H275" s="2280"/>
      <c r="I275" s="2280"/>
      <c r="J275" s="2280"/>
      <c r="K275" s="2280"/>
      <c r="L275" s="2280"/>
      <c r="M275" s="2280"/>
      <c r="N275" s="2280"/>
      <c r="O275" s="2280"/>
      <c r="P275" s="2280"/>
      <c r="Q275" s="2280"/>
      <c r="R275" s="2280"/>
      <c r="S275" s="2280"/>
      <c r="T275" s="2280"/>
      <c r="U275" s="2280"/>
      <c r="V275" s="2280"/>
      <c r="W275" s="2280"/>
      <c r="X275" s="2280"/>
      <c r="Y275" s="2280"/>
      <c r="Z275" s="2280"/>
      <c r="AA275" s="2280"/>
      <c r="AB275" s="2280"/>
      <c r="AC275" s="2280"/>
      <c r="AD275" s="2280"/>
      <c r="AE275" s="2280"/>
      <c r="AF275" s="2280"/>
      <c r="AG275" s="2280"/>
      <c r="AH275" s="2280"/>
      <c r="AI275" s="2280"/>
      <c r="AJ275" s="2280"/>
      <c r="AK275" s="2280"/>
      <c r="AL275" s="2280"/>
      <c r="AM275" s="2280"/>
      <c r="AN275" s="1957"/>
      <c r="AO275" s="1957"/>
      <c r="AP275" s="1957"/>
      <c r="AQ275" s="1957"/>
      <c r="AR275" s="1957"/>
      <c r="AS275" s="1957"/>
      <c r="AT275" s="1957"/>
      <c r="AU275" s="1957"/>
      <c r="AV275" s="1957"/>
      <c r="AW275" s="1957"/>
      <c r="AX275" s="1957"/>
      <c r="AY275" s="1957"/>
      <c r="AZ275" s="1957"/>
      <c r="BA275" s="1957"/>
      <c r="BB275" s="1957"/>
    </row>
    <row r="276" ht="16.5" customHeight="1">
      <c r="A276" s="2280"/>
      <c r="B276" s="2280"/>
      <c r="C276" s="2280"/>
      <c r="D276" s="2280"/>
      <c r="E276" s="2280"/>
      <c r="F276" s="2280"/>
      <c r="G276" s="2280"/>
      <c r="H276" s="2280"/>
      <c r="I276" s="2280"/>
      <c r="J276" s="2280"/>
      <c r="K276" s="2280"/>
      <c r="L276" s="2280"/>
      <c r="M276" s="2280"/>
      <c r="N276" s="2280"/>
      <c r="O276" s="2280"/>
      <c r="P276" s="2280"/>
      <c r="Q276" s="2280"/>
      <c r="R276" s="2280"/>
      <c r="S276" s="2280"/>
      <c r="T276" s="2280"/>
      <c r="U276" s="2280"/>
      <c r="V276" s="2280"/>
      <c r="W276" s="2280"/>
      <c r="X276" s="2280"/>
      <c r="Y276" s="2280"/>
      <c r="Z276" s="2280"/>
      <c r="AA276" s="2280"/>
      <c r="AB276" s="2280"/>
      <c r="AC276" s="2280"/>
      <c r="AD276" s="2280"/>
      <c r="AE276" s="2280"/>
      <c r="AF276" s="2280"/>
      <c r="AG276" s="2280"/>
      <c r="AH276" s="2280"/>
      <c r="AI276" s="2280"/>
      <c r="AJ276" s="2280"/>
      <c r="AK276" s="2280"/>
      <c r="AL276" s="2280"/>
      <c r="AM276" s="2280"/>
      <c r="AN276" s="1957"/>
      <c r="AO276" s="1957"/>
      <c r="AP276" s="1957"/>
      <c r="AQ276" s="1957"/>
      <c r="AR276" s="1957"/>
      <c r="AS276" s="1957"/>
      <c r="AT276" s="1957"/>
      <c r="AU276" s="1957"/>
      <c r="AV276" s="1957"/>
      <c r="AW276" s="1957"/>
      <c r="AX276" s="1957"/>
      <c r="AY276" s="1957"/>
      <c r="AZ276" s="1957"/>
      <c r="BA276" s="1957"/>
      <c r="BB276" s="1957"/>
    </row>
    <row r="277" ht="16.5" customHeight="1">
      <c r="A277" s="2280"/>
      <c r="B277" s="2280"/>
      <c r="C277" s="2280"/>
      <c r="D277" s="2280"/>
      <c r="E277" s="2280"/>
      <c r="F277" s="2280"/>
      <c r="G277" s="2280"/>
      <c r="H277" s="2280"/>
      <c r="I277" s="2280"/>
      <c r="J277" s="2280"/>
      <c r="K277" s="2280"/>
      <c r="L277" s="2280"/>
      <c r="M277" s="2280"/>
      <c r="N277" s="2280"/>
      <c r="O277" s="2280"/>
      <c r="P277" s="2280"/>
      <c r="Q277" s="2280"/>
      <c r="R277" s="2280"/>
      <c r="S277" s="2280"/>
      <c r="T277" s="2280"/>
      <c r="U277" s="2280"/>
      <c r="V277" s="2280"/>
      <c r="W277" s="2280"/>
      <c r="X277" s="2280"/>
      <c r="Y277" s="2280"/>
      <c r="Z277" s="2280"/>
      <c r="AA277" s="2280"/>
      <c r="AB277" s="2280"/>
      <c r="AC277" s="2280"/>
      <c r="AD277" s="2280"/>
      <c r="AE277" s="2280"/>
      <c r="AF277" s="2280"/>
      <c r="AG277" s="2280"/>
      <c r="AH277" s="2280"/>
      <c r="AI277" s="2280"/>
      <c r="AJ277" s="2280"/>
      <c r="AK277" s="2280"/>
      <c r="AL277" s="2280"/>
      <c r="AM277" s="2280"/>
      <c r="AN277" s="1957"/>
      <c r="AO277" s="1957"/>
      <c r="AP277" s="1957"/>
      <c r="AQ277" s="1957"/>
      <c r="AR277" s="1957"/>
      <c r="AS277" s="1957"/>
      <c r="AT277" s="1957"/>
      <c r="AU277" s="1957"/>
      <c r="AV277" s="1957"/>
      <c r="AW277" s="1957"/>
      <c r="AX277" s="1957"/>
      <c r="AY277" s="1957"/>
      <c r="AZ277" s="1957"/>
      <c r="BA277" s="1957"/>
      <c r="BB277" s="1957"/>
    </row>
    <row r="278" ht="16.5" customHeight="1">
      <c r="A278" s="2280"/>
      <c r="B278" s="2280"/>
      <c r="C278" s="2280"/>
      <c r="D278" s="2280"/>
      <c r="E278" s="2280"/>
      <c r="F278" s="2280"/>
      <c r="G278" s="2280"/>
      <c r="H278" s="2280"/>
      <c r="I278" s="2280"/>
      <c r="J278" s="2280"/>
      <c r="K278" s="2280"/>
      <c r="L278" s="2280"/>
      <c r="M278" s="2280"/>
      <c r="N278" s="2280"/>
      <c r="O278" s="2280"/>
      <c r="P278" s="2280"/>
      <c r="Q278" s="2280"/>
      <c r="R278" s="2280"/>
      <c r="S278" s="2280"/>
      <c r="T278" s="2280"/>
      <c r="U278" s="2280"/>
      <c r="V278" s="2280"/>
      <c r="W278" s="2280"/>
      <c r="X278" s="2280"/>
      <c r="Y278" s="2280"/>
      <c r="Z278" s="2280"/>
      <c r="AA278" s="2280"/>
      <c r="AB278" s="2280"/>
      <c r="AC278" s="2280"/>
      <c r="AD278" s="2280"/>
      <c r="AE278" s="2280"/>
      <c r="AF278" s="2280"/>
      <c r="AG278" s="2280"/>
      <c r="AH278" s="2280"/>
      <c r="AI278" s="2280"/>
      <c r="AJ278" s="2280"/>
      <c r="AK278" s="2280"/>
      <c r="AL278" s="2280"/>
      <c r="AM278" s="2280"/>
      <c r="AN278" s="1957"/>
      <c r="AO278" s="1957"/>
      <c r="AP278" s="1957"/>
      <c r="AQ278" s="1957"/>
      <c r="AR278" s="1957"/>
      <c r="AS278" s="1957"/>
      <c r="AT278" s="1957"/>
      <c r="AU278" s="1957"/>
      <c r="AV278" s="1957"/>
      <c r="AW278" s="1957"/>
      <c r="AX278" s="1957"/>
      <c r="AY278" s="1957"/>
      <c r="AZ278" s="1957"/>
      <c r="BA278" s="1957"/>
      <c r="BB278" s="1957"/>
    </row>
    <row r="279" ht="16.5" customHeight="1">
      <c r="A279" s="2280"/>
      <c r="B279" s="2280"/>
      <c r="C279" s="2280"/>
      <c r="D279" s="2280"/>
      <c r="E279" s="2280"/>
      <c r="F279" s="2280"/>
      <c r="G279" s="2280"/>
      <c r="H279" s="2280"/>
      <c r="I279" s="2280"/>
      <c r="J279" s="2280"/>
      <c r="K279" s="2280"/>
      <c r="L279" s="2280"/>
      <c r="M279" s="2280"/>
      <c r="N279" s="2280"/>
      <c r="O279" s="2280"/>
      <c r="P279" s="2280"/>
      <c r="Q279" s="2280"/>
      <c r="R279" s="2280"/>
      <c r="S279" s="2280"/>
      <c r="T279" s="2280"/>
      <c r="U279" s="2280"/>
      <c r="V279" s="2280"/>
      <c r="W279" s="2280"/>
      <c r="X279" s="2280"/>
      <c r="Y279" s="2280"/>
      <c r="Z279" s="2280"/>
      <c r="AA279" s="2280"/>
      <c r="AB279" s="2280"/>
      <c r="AC279" s="2280"/>
      <c r="AD279" s="2280"/>
      <c r="AE279" s="2280"/>
      <c r="AF279" s="2280"/>
      <c r="AG279" s="2280"/>
      <c r="AH279" s="2280"/>
      <c r="AI279" s="2280"/>
      <c r="AJ279" s="2280"/>
      <c r="AK279" s="2280"/>
      <c r="AL279" s="2280"/>
      <c r="AM279" s="2280"/>
      <c r="AN279" s="1957"/>
      <c r="AO279" s="1957"/>
      <c r="AP279" s="1957"/>
      <c r="AQ279" s="1957"/>
      <c r="AR279" s="1957"/>
      <c r="AS279" s="1957"/>
      <c r="AT279" s="1957"/>
      <c r="AU279" s="1957"/>
      <c r="AV279" s="1957"/>
      <c r="AW279" s="1957"/>
      <c r="AX279" s="1957"/>
      <c r="AY279" s="1957"/>
      <c r="AZ279" s="1957"/>
      <c r="BA279" s="1957"/>
      <c r="BB279" s="1957"/>
    </row>
    <row r="280" ht="16.5" customHeight="1">
      <c r="A280" s="2280"/>
      <c r="B280" s="2280"/>
      <c r="C280" s="2280"/>
      <c r="D280" s="2280"/>
      <c r="E280" s="2280"/>
      <c r="F280" s="2280"/>
      <c r="G280" s="2280"/>
      <c r="H280" s="2280"/>
      <c r="I280" s="2280"/>
      <c r="J280" s="2280"/>
      <c r="K280" s="2280"/>
      <c r="L280" s="2280"/>
      <c r="M280" s="2280"/>
      <c r="N280" s="2280"/>
      <c r="O280" s="2280"/>
      <c r="P280" s="2280"/>
      <c r="Q280" s="2280"/>
      <c r="R280" s="2280"/>
      <c r="S280" s="2280"/>
      <c r="T280" s="2280"/>
      <c r="U280" s="2280"/>
      <c r="V280" s="2280"/>
      <c r="W280" s="2280"/>
      <c r="X280" s="2280"/>
      <c r="Y280" s="2280"/>
      <c r="Z280" s="2280"/>
      <c r="AA280" s="2280"/>
      <c r="AB280" s="2280"/>
      <c r="AC280" s="2280"/>
      <c r="AD280" s="2280"/>
      <c r="AE280" s="2280"/>
      <c r="AF280" s="2280"/>
      <c r="AG280" s="2280"/>
      <c r="AH280" s="2280"/>
      <c r="AI280" s="2280"/>
      <c r="AJ280" s="2280"/>
      <c r="AK280" s="2280"/>
      <c r="AL280" s="2280"/>
      <c r="AM280" s="2280"/>
      <c r="AN280" s="1957"/>
      <c r="AO280" s="1957"/>
      <c r="AP280" s="1957"/>
      <c r="AQ280" s="1957"/>
      <c r="AR280" s="1957"/>
      <c r="AS280" s="1957"/>
      <c r="AT280" s="1957"/>
      <c r="AU280" s="1957"/>
      <c r="AV280" s="1957"/>
      <c r="AW280" s="1957"/>
      <c r="AX280" s="1957"/>
      <c r="AY280" s="1957"/>
      <c r="AZ280" s="1957"/>
      <c r="BA280" s="1957"/>
      <c r="BB280" s="1957"/>
    </row>
    <row r="281" ht="16.5" customHeight="1">
      <c r="A281" s="2280"/>
      <c r="B281" s="2280"/>
      <c r="C281" s="2280"/>
      <c r="D281" s="2280"/>
      <c r="E281" s="2280"/>
      <c r="F281" s="2280"/>
      <c r="G281" s="2280"/>
      <c r="H281" s="2280"/>
      <c r="I281" s="2280"/>
      <c r="J281" s="2280"/>
      <c r="K281" s="2280"/>
      <c r="L281" s="2280"/>
      <c r="M281" s="2280"/>
      <c r="N281" s="2280"/>
      <c r="O281" s="2280"/>
      <c r="P281" s="2280"/>
      <c r="Q281" s="2280"/>
      <c r="R281" s="2280"/>
      <c r="S281" s="2280"/>
      <c r="T281" s="2280"/>
      <c r="U281" s="2280"/>
      <c r="V281" s="2280"/>
      <c r="W281" s="2280"/>
      <c r="X281" s="2280"/>
      <c r="Y281" s="2280"/>
      <c r="Z281" s="2280"/>
      <c r="AA281" s="2280"/>
      <c r="AB281" s="2280"/>
      <c r="AC281" s="2280"/>
      <c r="AD281" s="2280"/>
      <c r="AE281" s="2280"/>
      <c r="AF281" s="2280"/>
      <c r="AG281" s="2280"/>
      <c r="AH281" s="2280"/>
      <c r="AI281" s="2280"/>
      <c r="AJ281" s="2280"/>
      <c r="AK281" s="2280"/>
      <c r="AL281" s="2280"/>
      <c r="AM281" s="2280"/>
      <c r="AN281" s="1957"/>
      <c r="AO281" s="1957"/>
      <c r="AP281" s="1957"/>
      <c r="AQ281" s="1957"/>
      <c r="AR281" s="1957"/>
      <c r="AS281" s="1957"/>
      <c r="AT281" s="1957"/>
      <c r="AU281" s="1957"/>
      <c r="AV281" s="1957"/>
      <c r="AW281" s="1957"/>
      <c r="AX281" s="1957"/>
      <c r="AY281" s="1957"/>
      <c r="AZ281" s="1957"/>
      <c r="BA281" s="1957"/>
      <c r="BB281" s="1957"/>
    </row>
    <row r="282" ht="16.5" customHeight="1">
      <c r="A282" s="2280"/>
      <c r="B282" s="2280"/>
      <c r="C282" s="2280"/>
      <c r="D282" s="2280"/>
      <c r="E282" s="2280"/>
      <c r="F282" s="2280"/>
      <c r="G282" s="2280"/>
      <c r="H282" s="2280"/>
      <c r="I282" s="2280"/>
      <c r="J282" s="2280"/>
      <c r="K282" s="2280"/>
      <c r="L282" s="2280"/>
      <c r="M282" s="2280"/>
      <c r="N282" s="2280"/>
      <c r="O282" s="2280"/>
      <c r="P282" s="2280"/>
      <c r="Q282" s="2280"/>
      <c r="R282" s="2280"/>
      <c r="S282" s="2280"/>
      <c r="T282" s="2280"/>
      <c r="U282" s="2280"/>
      <c r="V282" s="2280"/>
      <c r="W282" s="2280"/>
      <c r="X282" s="2280"/>
      <c r="Y282" s="2280"/>
      <c r="Z282" s="2280"/>
      <c r="AA282" s="2280"/>
      <c r="AB282" s="2280"/>
      <c r="AC282" s="2280"/>
      <c r="AD282" s="2280"/>
      <c r="AE282" s="2280"/>
      <c r="AF282" s="2280"/>
      <c r="AG282" s="2280"/>
      <c r="AH282" s="2280"/>
      <c r="AI282" s="2280"/>
      <c r="AJ282" s="2280"/>
      <c r="AK282" s="2280"/>
      <c r="AL282" s="2280"/>
      <c r="AM282" s="2280"/>
      <c r="AN282" s="1957"/>
      <c r="AO282" s="1957"/>
      <c r="AP282" s="1957"/>
      <c r="AQ282" s="1957"/>
      <c r="AR282" s="1957"/>
      <c r="AS282" s="1957"/>
      <c r="AT282" s="1957"/>
      <c r="AU282" s="1957"/>
      <c r="AV282" s="1957"/>
      <c r="AW282" s="1957"/>
      <c r="AX282" s="1957"/>
      <c r="AY282" s="1957"/>
      <c r="AZ282" s="1957"/>
      <c r="BA282" s="1957"/>
      <c r="BB282" s="1957"/>
    </row>
    <row r="283" ht="16.5" customHeight="1">
      <c r="A283" s="2280"/>
      <c r="B283" s="2280"/>
      <c r="C283" s="2280"/>
      <c r="D283" s="2280"/>
      <c r="E283" s="2280"/>
      <c r="F283" s="2280"/>
      <c r="G283" s="2280"/>
      <c r="H283" s="2280"/>
      <c r="I283" s="2280"/>
      <c r="J283" s="2280"/>
      <c r="K283" s="2280"/>
      <c r="L283" s="2280"/>
      <c r="M283" s="2280"/>
      <c r="N283" s="2280"/>
      <c r="O283" s="2280"/>
      <c r="P283" s="2280"/>
      <c r="Q283" s="2280"/>
      <c r="R283" s="2280"/>
      <c r="S283" s="2280"/>
      <c r="T283" s="2280"/>
      <c r="U283" s="2280"/>
      <c r="V283" s="2280"/>
      <c r="W283" s="2280"/>
      <c r="X283" s="2280"/>
      <c r="Y283" s="2280"/>
      <c r="Z283" s="2280"/>
      <c r="AA283" s="2280"/>
      <c r="AB283" s="2280"/>
      <c r="AC283" s="2280"/>
      <c r="AD283" s="2280"/>
      <c r="AE283" s="2280"/>
      <c r="AF283" s="2280"/>
      <c r="AG283" s="2280"/>
      <c r="AH283" s="2280"/>
      <c r="AI283" s="2280"/>
      <c r="AJ283" s="2280"/>
      <c r="AK283" s="2280"/>
      <c r="AL283" s="2280"/>
      <c r="AM283" s="2280"/>
      <c r="AN283" s="1957"/>
      <c r="AO283" s="1957"/>
      <c r="AP283" s="1957"/>
      <c r="AQ283" s="1957"/>
      <c r="AR283" s="1957"/>
      <c r="AS283" s="1957"/>
      <c r="AT283" s="1957"/>
      <c r="AU283" s="1957"/>
      <c r="AV283" s="1957"/>
      <c r="AW283" s="1957"/>
      <c r="AX283" s="1957"/>
      <c r="AY283" s="1957"/>
      <c r="AZ283" s="1957"/>
      <c r="BA283" s="1957"/>
      <c r="BB283" s="1957"/>
    </row>
    <row r="284" ht="16.5" customHeight="1">
      <c r="A284" s="2280"/>
      <c r="B284" s="2280"/>
      <c r="C284" s="2280"/>
      <c r="D284" s="2280"/>
      <c r="E284" s="2280"/>
      <c r="F284" s="2280"/>
      <c r="G284" s="2280"/>
      <c r="H284" s="2280"/>
      <c r="I284" s="2280"/>
      <c r="J284" s="2280"/>
      <c r="K284" s="2280"/>
      <c r="L284" s="2280"/>
      <c r="M284" s="2280"/>
      <c r="N284" s="2280"/>
      <c r="O284" s="2280"/>
      <c r="P284" s="2280"/>
      <c r="Q284" s="2280"/>
      <c r="R284" s="2280"/>
      <c r="S284" s="2280"/>
      <c r="T284" s="2280"/>
      <c r="U284" s="2280"/>
      <c r="V284" s="2280"/>
      <c r="W284" s="2280"/>
      <c r="X284" s="2280"/>
      <c r="Y284" s="2280"/>
      <c r="Z284" s="2280"/>
      <c r="AA284" s="2280"/>
      <c r="AB284" s="2280"/>
      <c r="AC284" s="2280"/>
      <c r="AD284" s="2280"/>
      <c r="AE284" s="2280"/>
      <c r="AF284" s="2280"/>
      <c r="AG284" s="2280"/>
      <c r="AH284" s="2280"/>
      <c r="AI284" s="2280"/>
      <c r="AJ284" s="2280"/>
      <c r="AK284" s="2280"/>
      <c r="AL284" s="2280"/>
      <c r="AM284" s="2280"/>
      <c r="AN284" s="1957"/>
      <c r="AO284" s="1957"/>
      <c r="AP284" s="1957"/>
      <c r="AQ284" s="1957"/>
      <c r="AR284" s="1957"/>
      <c r="AS284" s="1957"/>
      <c r="AT284" s="1957"/>
      <c r="AU284" s="1957"/>
      <c r="AV284" s="1957"/>
      <c r="AW284" s="1957"/>
      <c r="AX284" s="1957"/>
      <c r="AY284" s="1957"/>
      <c r="AZ284" s="1957"/>
      <c r="BA284" s="1957"/>
      <c r="BB284" s="1957"/>
    </row>
    <row r="285" ht="16.5" customHeight="1">
      <c r="A285" s="2280"/>
      <c r="B285" s="2280"/>
      <c r="C285" s="2280"/>
      <c r="D285" s="2280"/>
      <c r="E285" s="2280"/>
      <c r="F285" s="2280"/>
      <c r="G285" s="2280"/>
      <c r="H285" s="2280"/>
      <c r="I285" s="2280"/>
      <c r="J285" s="2280"/>
      <c r="K285" s="2280"/>
      <c r="L285" s="2280"/>
      <c r="M285" s="2280"/>
      <c r="N285" s="2280"/>
      <c r="O285" s="2280"/>
      <c r="P285" s="2280"/>
      <c r="Q285" s="2280"/>
      <c r="R285" s="2280"/>
      <c r="S285" s="2280"/>
      <c r="T285" s="2280"/>
      <c r="U285" s="2280"/>
      <c r="V285" s="2280"/>
      <c r="W285" s="2280"/>
      <c r="X285" s="2280"/>
      <c r="Y285" s="2280"/>
      <c r="Z285" s="2280"/>
      <c r="AA285" s="2280"/>
      <c r="AB285" s="2280"/>
      <c r="AC285" s="2280"/>
      <c r="AD285" s="2280"/>
      <c r="AE285" s="2280"/>
      <c r="AF285" s="2280"/>
      <c r="AG285" s="2280"/>
      <c r="AH285" s="2280"/>
      <c r="AI285" s="2280"/>
      <c r="AJ285" s="2280"/>
      <c r="AK285" s="2280"/>
      <c r="AL285" s="2280"/>
      <c r="AM285" s="2280"/>
      <c r="AN285" s="1957"/>
      <c r="AO285" s="1957"/>
      <c r="AP285" s="1957"/>
      <c r="AQ285" s="1957"/>
      <c r="AR285" s="1957"/>
      <c r="AS285" s="1957"/>
      <c r="AT285" s="1957"/>
      <c r="AU285" s="1957"/>
      <c r="AV285" s="1957"/>
      <c r="AW285" s="1957"/>
      <c r="AX285" s="1957"/>
      <c r="AY285" s="1957"/>
      <c r="AZ285" s="1957"/>
      <c r="BA285" s="1957"/>
      <c r="BB285" s="1957"/>
    </row>
    <row r="286" ht="16.5" customHeight="1">
      <c r="A286" s="2280"/>
      <c r="B286" s="2280"/>
      <c r="C286" s="2280"/>
      <c r="D286" s="2280"/>
      <c r="E286" s="2280"/>
      <c r="F286" s="2280"/>
      <c r="G286" s="2280"/>
      <c r="H286" s="2280"/>
      <c r="I286" s="2280"/>
      <c r="J286" s="2280"/>
      <c r="K286" s="2280"/>
      <c r="L286" s="2280"/>
      <c r="M286" s="2280"/>
      <c r="N286" s="2280"/>
      <c r="O286" s="2280"/>
      <c r="P286" s="2280"/>
      <c r="Q286" s="2280"/>
      <c r="R286" s="2280"/>
      <c r="S286" s="2280"/>
      <c r="T286" s="2280"/>
      <c r="U286" s="2280"/>
      <c r="V286" s="2280"/>
      <c r="W286" s="2280"/>
      <c r="X286" s="2280"/>
      <c r="Y286" s="2280"/>
      <c r="Z286" s="2280"/>
      <c r="AA286" s="2280"/>
      <c r="AB286" s="2280"/>
      <c r="AC286" s="2280"/>
      <c r="AD286" s="2280"/>
      <c r="AE286" s="2280"/>
      <c r="AF286" s="2280"/>
      <c r="AG286" s="2280"/>
      <c r="AH286" s="2280"/>
      <c r="AI286" s="2280"/>
      <c r="AJ286" s="2280"/>
      <c r="AK286" s="2280"/>
      <c r="AL286" s="2280"/>
      <c r="AM286" s="2280"/>
      <c r="AN286" s="1957"/>
      <c r="AO286" s="1957"/>
      <c r="AP286" s="1957"/>
      <c r="AQ286" s="1957"/>
      <c r="AR286" s="1957"/>
      <c r="AS286" s="1957"/>
      <c r="AT286" s="1957"/>
      <c r="AU286" s="1957"/>
      <c r="AV286" s="1957"/>
      <c r="AW286" s="1957"/>
      <c r="AX286" s="1957"/>
      <c r="AY286" s="1957"/>
      <c r="AZ286" s="1957"/>
      <c r="BA286" s="1957"/>
      <c r="BB286" s="1957"/>
    </row>
    <row r="287" ht="16.5" customHeight="1">
      <c r="A287" s="2280"/>
      <c r="B287" s="2280"/>
      <c r="C287" s="2280"/>
      <c r="D287" s="2280"/>
      <c r="E287" s="2280"/>
      <c r="F287" s="2280"/>
      <c r="G287" s="2280"/>
      <c r="H287" s="2280"/>
      <c r="I287" s="2280"/>
      <c r="J287" s="2280"/>
      <c r="K287" s="2280"/>
      <c r="L287" s="2280"/>
      <c r="M287" s="2280"/>
      <c r="N287" s="2280"/>
      <c r="O287" s="2280"/>
      <c r="P287" s="2280"/>
      <c r="Q287" s="2280"/>
      <c r="R287" s="2280"/>
      <c r="S287" s="2280"/>
      <c r="T287" s="2280"/>
      <c r="U287" s="2280"/>
      <c r="V287" s="2280"/>
      <c r="W287" s="2280"/>
      <c r="X287" s="2280"/>
      <c r="Y287" s="2280"/>
      <c r="Z287" s="2280"/>
      <c r="AA287" s="2280"/>
      <c r="AB287" s="2280"/>
      <c r="AC287" s="2280"/>
      <c r="AD287" s="2280"/>
      <c r="AE287" s="2280"/>
      <c r="AF287" s="2280"/>
      <c r="AG287" s="2280"/>
      <c r="AH287" s="2280"/>
      <c r="AI287" s="2280"/>
      <c r="AJ287" s="2280"/>
      <c r="AK287" s="2280"/>
      <c r="AL287" s="2280"/>
      <c r="AM287" s="2280"/>
      <c r="AN287" s="1957"/>
      <c r="AO287" s="1957"/>
      <c r="AP287" s="1957"/>
      <c r="AQ287" s="1957"/>
      <c r="AR287" s="1957"/>
      <c r="AS287" s="1957"/>
      <c r="AT287" s="1957"/>
      <c r="AU287" s="1957"/>
      <c r="AV287" s="1957"/>
      <c r="AW287" s="1957"/>
      <c r="AX287" s="1957"/>
      <c r="AY287" s="1957"/>
      <c r="AZ287" s="1957"/>
      <c r="BA287" s="1957"/>
      <c r="BB287" s="1957"/>
    </row>
    <row r="288" ht="16.5" customHeight="1">
      <c r="A288" s="2280"/>
      <c r="B288" s="2280"/>
      <c r="C288" s="2280"/>
      <c r="D288" s="2280"/>
      <c r="E288" s="2280"/>
      <c r="F288" s="2280"/>
      <c r="G288" s="2280"/>
      <c r="H288" s="2280"/>
      <c r="I288" s="2280"/>
      <c r="J288" s="2280"/>
      <c r="K288" s="2280"/>
      <c r="L288" s="2280"/>
      <c r="M288" s="2280"/>
      <c r="N288" s="2280"/>
      <c r="O288" s="2280"/>
      <c r="P288" s="2280"/>
      <c r="Q288" s="2280"/>
      <c r="R288" s="2280"/>
      <c r="S288" s="2280"/>
      <c r="T288" s="2280"/>
      <c r="U288" s="2280"/>
      <c r="V288" s="2280"/>
      <c r="W288" s="2280"/>
      <c r="X288" s="2280"/>
      <c r="Y288" s="2280"/>
      <c r="Z288" s="2280"/>
      <c r="AA288" s="2280"/>
      <c r="AB288" s="2280"/>
      <c r="AC288" s="2280"/>
      <c r="AD288" s="2280"/>
      <c r="AE288" s="2280"/>
      <c r="AF288" s="2280"/>
      <c r="AG288" s="2280"/>
      <c r="AH288" s="2280"/>
      <c r="AI288" s="2280"/>
      <c r="AJ288" s="2280"/>
      <c r="AK288" s="2280"/>
      <c r="AL288" s="2280"/>
      <c r="AM288" s="2280"/>
      <c r="AN288" s="1957"/>
      <c r="AO288" s="1957"/>
      <c r="AP288" s="1957"/>
      <c r="AQ288" s="1957"/>
      <c r="AR288" s="1957"/>
      <c r="AS288" s="1957"/>
      <c r="AT288" s="1957"/>
      <c r="AU288" s="1957"/>
      <c r="AV288" s="1957"/>
      <c r="AW288" s="1957"/>
      <c r="AX288" s="1957"/>
      <c r="AY288" s="1957"/>
      <c r="AZ288" s="1957"/>
      <c r="BA288" s="1957"/>
      <c r="BB288" s="1957"/>
    </row>
    <row r="289" ht="16.5" customHeight="1">
      <c r="A289" s="2280"/>
      <c r="B289" s="2280"/>
      <c r="C289" s="2280"/>
      <c r="D289" s="2280"/>
      <c r="E289" s="2280"/>
      <c r="F289" s="2280"/>
      <c r="G289" s="2280"/>
      <c r="H289" s="2280"/>
      <c r="I289" s="2280"/>
      <c r="J289" s="2280"/>
      <c r="K289" s="2280"/>
      <c r="L289" s="2280"/>
      <c r="M289" s="2280"/>
      <c r="N289" s="2280"/>
      <c r="O289" s="2280"/>
      <c r="P289" s="2280"/>
      <c r="Q289" s="2280"/>
      <c r="R289" s="2280"/>
      <c r="S289" s="2280"/>
      <c r="T289" s="2280"/>
      <c r="U289" s="2280"/>
      <c r="V289" s="2280"/>
      <c r="W289" s="2280"/>
      <c r="X289" s="2280"/>
      <c r="Y289" s="2280"/>
      <c r="Z289" s="2280"/>
      <c r="AA289" s="2280"/>
      <c r="AB289" s="2280"/>
      <c r="AC289" s="2280"/>
      <c r="AD289" s="2280"/>
      <c r="AE289" s="2280"/>
      <c r="AF289" s="2280"/>
      <c r="AG289" s="2280"/>
      <c r="AH289" s="2280"/>
      <c r="AI289" s="2280"/>
      <c r="AJ289" s="2280"/>
      <c r="AK289" s="2280"/>
      <c r="AL289" s="2280"/>
      <c r="AM289" s="2280"/>
      <c r="AN289" s="1957"/>
      <c r="AO289" s="1957"/>
      <c r="AP289" s="1957"/>
      <c r="AQ289" s="1957"/>
      <c r="AR289" s="1957"/>
      <c r="AS289" s="1957"/>
      <c r="AT289" s="1957"/>
      <c r="AU289" s="1957"/>
      <c r="AV289" s="1957"/>
      <c r="AW289" s="1957"/>
      <c r="AX289" s="1957"/>
      <c r="AY289" s="1957"/>
      <c r="AZ289" s="1957"/>
      <c r="BA289" s="1957"/>
      <c r="BB289" s="1957"/>
    </row>
    <row r="290" ht="16.5" customHeight="1">
      <c r="A290" s="2280"/>
      <c r="B290" s="2280"/>
      <c r="C290" s="2280"/>
      <c r="D290" s="2280"/>
      <c r="E290" s="2280"/>
      <c r="F290" s="2280"/>
      <c r="G290" s="2280"/>
      <c r="H290" s="2280"/>
      <c r="I290" s="2280"/>
      <c r="J290" s="2280"/>
      <c r="K290" s="2280"/>
      <c r="L290" s="2280"/>
      <c r="M290" s="2280"/>
      <c r="N290" s="2280"/>
      <c r="O290" s="2280"/>
      <c r="P290" s="2280"/>
      <c r="Q290" s="2280"/>
      <c r="R290" s="2280"/>
      <c r="S290" s="2280"/>
      <c r="T290" s="2280"/>
      <c r="U290" s="2280"/>
      <c r="V290" s="2280"/>
      <c r="W290" s="2280"/>
      <c r="X290" s="2280"/>
      <c r="Y290" s="2280"/>
      <c r="Z290" s="2280"/>
      <c r="AA290" s="2280"/>
      <c r="AB290" s="2280"/>
      <c r="AC290" s="2280"/>
      <c r="AD290" s="2280"/>
      <c r="AE290" s="2280"/>
      <c r="AF290" s="2280"/>
      <c r="AG290" s="2280"/>
      <c r="AH290" s="2280"/>
      <c r="AI290" s="2280"/>
      <c r="AJ290" s="2280"/>
      <c r="AK290" s="2280"/>
      <c r="AL290" s="2280"/>
      <c r="AM290" s="2280"/>
      <c r="AN290" s="1957"/>
      <c r="AO290" s="1957"/>
      <c r="AP290" s="1957"/>
      <c r="AQ290" s="1957"/>
      <c r="AR290" s="1957"/>
      <c r="AS290" s="1957"/>
      <c r="AT290" s="1957"/>
      <c r="AU290" s="1957"/>
      <c r="AV290" s="1957"/>
      <c r="AW290" s="1957"/>
      <c r="AX290" s="1957"/>
      <c r="AY290" s="1957"/>
      <c r="AZ290" s="1957"/>
      <c r="BA290" s="1957"/>
      <c r="BB290" s="1957"/>
    </row>
    <row r="291" ht="16.5" customHeight="1">
      <c r="A291" s="2280"/>
      <c r="B291" s="2280"/>
      <c r="C291" s="2280"/>
      <c r="D291" s="2280"/>
      <c r="E291" s="2280"/>
      <c r="F291" s="2280"/>
      <c r="G291" s="2280"/>
      <c r="H291" s="2280"/>
      <c r="I291" s="2280"/>
      <c r="J291" s="2280"/>
      <c r="K291" s="2280"/>
      <c r="L291" s="2280"/>
      <c r="M291" s="2280"/>
      <c r="N291" s="2280"/>
      <c r="O291" s="2280"/>
      <c r="P291" s="2280"/>
      <c r="Q291" s="2280"/>
      <c r="R291" s="2280"/>
      <c r="S291" s="2280"/>
      <c r="T291" s="2280"/>
      <c r="U291" s="2280"/>
      <c r="V291" s="2280"/>
      <c r="W291" s="2280"/>
      <c r="X291" s="2280"/>
      <c r="Y291" s="2280"/>
      <c r="Z291" s="2280"/>
      <c r="AA291" s="2280"/>
      <c r="AB291" s="2280"/>
      <c r="AC291" s="2280"/>
      <c r="AD291" s="2280"/>
      <c r="AE291" s="2280"/>
      <c r="AF291" s="2280"/>
      <c r="AG291" s="2280"/>
      <c r="AH291" s="2280"/>
      <c r="AI291" s="2280"/>
      <c r="AJ291" s="2280"/>
      <c r="AK291" s="2280"/>
      <c r="AL291" s="2280"/>
      <c r="AM291" s="2280"/>
      <c r="AN291" s="1957"/>
      <c r="AO291" s="1957"/>
      <c r="AP291" s="1957"/>
      <c r="AQ291" s="1957"/>
      <c r="AR291" s="1957"/>
      <c r="AS291" s="1957"/>
      <c r="AT291" s="1957"/>
      <c r="AU291" s="1957"/>
      <c r="AV291" s="1957"/>
      <c r="AW291" s="1957"/>
      <c r="AX291" s="1957"/>
      <c r="AY291" s="1957"/>
      <c r="AZ291" s="1957"/>
      <c r="BA291" s="1957"/>
      <c r="BB291" s="1957"/>
    </row>
    <row r="292" ht="16.5" customHeight="1">
      <c r="A292" s="2280"/>
      <c r="B292" s="2280"/>
      <c r="C292" s="2280"/>
      <c r="D292" s="2280"/>
      <c r="E292" s="2280"/>
      <c r="F292" s="2280"/>
      <c r="G292" s="2280"/>
      <c r="H292" s="2280"/>
      <c r="I292" s="2280"/>
      <c r="J292" s="2280"/>
      <c r="K292" s="2280"/>
      <c r="L292" s="2280"/>
      <c r="M292" s="2280"/>
      <c r="N292" s="2280"/>
      <c r="O292" s="2280"/>
      <c r="P292" s="2280"/>
      <c r="Q292" s="2280"/>
      <c r="R292" s="2280"/>
      <c r="S292" s="2280"/>
      <c r="T292" s="2280"/>
      <c r="U292" s="2280"/>
      <c r="V292" s="2280"/>
      <c r="W292" s="2280"/>
      <c r="X292" s="2280"/>
      <c r="Y292" s="2280"/>
      <c r="Z292" s="2280"/>
      <c r="AA292" s="2280"/>
      <c r="AB292" s="2280"/>
      <c r="AC292" s="2280"/>
      <c r="AD292" s="2280"/>
      <c r="AE292" s="2280"/>
      <c r="AF292" s="2280"/>
      <c r="AG292" s="2280"/>
      <c r="AH292" s="2280"/>
      <c r="AI292" s="2280"/>
      <c r="AJ292" s="2280"/>
      <c r="AK292" s="2280"/>
      <c r="AL292" s="2280"/>
      <c r="AM292" s="2280"/>
      <c r="AN292" s="1957"/>
      <c r="AO292" s="1957"/>
      <c r="AP292" s="1957"/>
      <c r="AQ292" s="1957"/>
      <c r="AR292" s="1957"/>
      <c r="AS292" s="1957"/>
      <c r="AT292" s="1957"/>
      <c r="AU292" s="1957"/>
      <c r="AV292" s="1957"/>
      <c r="AW292" s="1957"/>
      <c r="AX292" s="1957"/>
      <c r="AY292" s="1957"/>
      <c r="AZ292" s="1957"/>
      <c r="BA292" s="1957"/>
      <c r="BB292" s="1957"/>
    </row>
    <row r="293" ht="16.5" customHeight="1">
      <c r="A293" s="2280"/>
      <c r="B293" s="2280"/>
      <c r="C293" s="2280"/>
      <c r="D293" s="2280"/>
      <c r="E293" s="2280"/>
      <c r="F293" s="2280"/>
      <c r="G293" s="2280"/>
      <c r="H293" s="2280"/>
      <c r="I293" s="2280"/>
      <c r="J293" s="2280"/>
      <c r="K293" s="2280"/>
      <c r="L293" s="2280"/>
      <c r="M293" s="2280"/>
      <c r="N293" s="2280"/>
      <c r="O293" s="2280"/>
      <c r="P293" s="2280"/>
      <c r="Q293" s="2280"/>
      <c r="R293" s="2280"/>
      <c r="S293" s="2280"/>
      <c r="T293" s="2280"/>
      <c r="U293" s="2280"/>
      <c r="V293" s="2280"/>
      <c r="W293" s="2280"/>
      <c r="X293" s="2280"/>
      <c r="Y293" s="2280"/>
      <c r="Z293" s="2280"/>
      <c r="AA293" s="2280"/>
      <c r="AB293" s="2280"/>
      <c r="AC293" s="2280"/>
      <c r="AD293" s="2280"/>
      <c r="AE293" s="2280"/>
      <c r="AF293" s="2280"/>
      <c r="AG293" s="2280"/>
      <c r="AH293" s="2280"/>
      <c r="AI293" s="2280"/>
      <c r="AJ293" s="2280"/>
      <c r="AK293" s="2280"/>
      <c r="AL293" s="2280"/>
      <c r="AM293" s="2280"/>
      <c r="AN293" s="1957"/>
      <c r="AO293" s="1957"/>
      <c r="AP293" s="1957"/>
      <c r="AQ293" s="1957"/>
      <c r="AR293" s="1957"/>
      <c r="AS293" s="1957"/>
      <c r="AT293" s="1957"/>
      <c r="AU293" s="1957"/>
      <c r="AV293" s="1957"/>
      <c r="AW293" s="1957"/>
      <c r="AX293" s="1957"/>
      <c r="AY293" s="1957"/>
      <c r="AZ293" s="1957"/>
      <c r="BA293" s="1957"/>
      <c r="BB293" s="1957"/>
    </row>
    <row r="294" ht="16.5" customHeight="1">
      <c r="A294" s="2280"/>
      <c r="B294" s="2280"/>
      <c r="C294" s="2280"/>
      <c r="D294" s="2280"/>
      <c r="E294" s="2280"/>
      <c r="F294" s="2280"/>
      <c r="G294" s="2280"/>
      <c r="H294" s="2280"/>
      <c r="I294" s="2280"/>
      <c r="J294" s="2280"/>
      <c r="K294" s="2280"/>
      <c r="L294" s="2280"/>
      <c r="M294" s="2280"/>
      <c r="N294" s="2280"/>
      <c r="O294" s="2280"/>
      <c r="P294" s="2280"/>
      <c r="Q294" s="2280"/>
      <c r="R294" s="2280"/>
      <c r="S294" s="2280"/>
      <c r="T294" s="2280"/>
      <c r="U294" s="2280"/>
      <c r="V294" s="2280"/>
      <c r="W294" s="2280"/>
      <c r="X294" s="2280"/>
      <c r="Y294" s="2280"/>
      <c r="Z294" s="2280"/>
      <c r="AA294" s="2280"/>
      <c r="AB294" s="2280"/>
      <c r="AC294" s="2280"/>
      <c r="AD294" s="2280"/>
      <c r="AE294" s="2280"/>
      <c r="AF294" s="2280"/>
      <c r="AG294" s="2280"/>
      <c r="AH294" s="2280"/>
      <c r="AI294" s="2280"/>
      <c r="AJ294" s="2280"/>
      <c r="AK294" s="2280"/>
      <c r="AL294" s="2280"/>
      <c r="AM294" s="2280"/>
      <c r="AN294" s="1957"/>
      <c r="AO294" s="1957"/>
      <c r="AP294" s="1957"/>
      <c r="AQ294" s="1957"/>
      <c r="AR294" s="1957"/>
      <c r="AS294" s="1957"/>
      <c r="AT294" s="1957"/>
      <c r="AU294" s="1957"/>
      <c r="AV294" s="1957"/>
      <c r="AW294" s="1957"/>
      <c r="AX294" s="1957"/>
      <c r="AY294" s="1957"/>
      <c r="AZ294" s="1957"/>
      <c r="BA294" s="1957"/>
      <c r="BB294" s="1957"/>
    </row>
    <row r="295" ht="16.5" customHeight="1">
      <c r="A295" s="2280"/>
      <c r="B295" s="2280"/>
      <c r="C295" s="2280"/>
      <c r="D295" s="2280"/>
      <c r="E295" s="2280"/>
      <c r="F295" s="2280"/>
      <c r="G295" s="2280"/>
      <c r="H295" s="2280"/>
      <c r="I295" s="2280"/>
      <c r="J295" s="2280"/>
      <c r="K295" s="2280"/>
      <c r="L295" s="2280"/>
      <c r="M295" s="2280"/>
      <c r="N295" s="2280"/>
      <c r="O295" s="2280"/>
      <c r="P295" s="2280"/>
      <c r="Q295" s="2280"/>
      <c r="R295" s="2280"/>
      <c r="S295" s="2280"/>
      <c r="T295" s="2280"/>
      <c r="U295" s="2280"/>
      <c r="V295" s="2280"/>
      <c r="W295" s="2280"/>
      <c r="X295" s="2280"/>
      <c r="Y295" s="2280"/>
      <c r="Z295" s="2280"/>
      <c r="AA295" s="2280"/>
      <c r="AB295" s="2280"/>
      <c r="AC295" s="2280"/>
      <c r="AD295" s="2280"/>
      <c r="AE295" s="2280"/>
      <c r="AF295" s="2280"/>
      <c r="AG295" s="2280"/>
      <c r="AH295" s="2280"/>
      <c r="AI295" s="2280"/>
      <c r="AJ295" s="2280"/>
      <c r="AK295" s="2280"/>
      <c r="AL295" s="2280"/>
      <c r="AM295" s="2280"/>
      <c r="AN295" s="1957"/>
      <c r="AO295" s="1957"/>
      <c r="AP295" s="1957"/>
      <c r="AQ295" s="1957"/>
      <c r="AR295" s="1957"/>
      <c r="AS295" s="1957"/>
      <c r="AT295" s="1957"/>
      <c r="AU295" s="1957"/>
      <c r="AV295" s="1957"/>
      <c r="AW295" s="1957"/>
      <c r="AX295" s="1957"/>
      <c r="AY295" s="1957"/>
      <c r="AZ295" s="1957"/>
      <c r="BA295" s="1957"/>
      <c r="BB295" s="1957"/>
    </row>
    <row r="296" ht="16.5" customHeight="1">
      <c r="A296" s="2280"/>
      <c r="B296" s="2280"/>
      <c r="C296" s="2280"/>
      <c r="D296" s="2280"/>
      <c r="E296" s="2280"/>
      <c r="F296" s="2280"/>
      <c r="G296" s="2280"/>
      <c r="H296" s="2280"/>
      <c r="I296" s="2280"/>
      <c r="J296" s="2280"/>
      <c r="K296" s="2280"/>
      <c r="L296" s="2280"/>
      <c r="M296" s="2280"/>
      <c r="N296" s="2280"/>
      <c r="O296" s="2280"/>
      <c r="P296" s="2280"/>
      <c r="Q296" s="2280"/>
      <c r="R296" s="2280"/>
      <c r="S296" s="2280"/>
      <c r="T296" s="2280"/>
      <c r="U296" s="2280"/>
      <c r="V296" s="2280"/>
      <c r="W296" s="2280"/>
      <c r="X296" s="2280"/>
      <c r="Y296" s="2280"/>
      <c r="Z296" s="2280"/>
      <c r="AA296" s="2280"/>
      <c r="AB296" s="2280"/>
      <c r="AC296" s="2280"/>
      <c r="AD296" s="2280"/>
      <c r="AE296" s="2280"/>
      <c r="AF296" s="2280"/>
      <c r="AG296" s="2280"/>
      <c r="AH296" s="2280"/>
      <c r="AI296" s="2280"/>
      <c r="AJ296" s="2280"/>
      <c r="AK296" s="2280"/>
      <c r="AL296" s="2280"/>
      <c r="AM296" s="2280"/>
      <c r="AN296" s="1957"/>
      <c r="AO296" s="1957"/>
      <c r="AP296" s="1957"/>
      <c r="AQ296" s="1957"/>
      <c r="AR296" s="1957"/>
      <c r="AS296" s="1957"/>
      <c r="AT296" s="1957"/>
      <c r="AU296" s="1957"/>
      <c r="AV296" s="1957"/>
      <c r="AW296" s="1957"/>
      <c r="AX296" s="1957"/>
      <c r="AY296" s="1957"/>
      <c r="AZ296" s="1957"/>
      <c r="BA296" s="1957"/>
      <c r="BB296" s="1957"/>
    </row>
    <row r="297" ht="16.5" customHeight="1">
      <c r="A297" s="2280"/>
      <c r="B297" s="2280"/>
      <c r="C297" s="2280"/>
      <c r="D297" s="2280"/>
      <c r="E297" s="2280"/>
      <c r="F297" s="2280"/>
      <c r="G297" s="2280"/>
      <c r="H297" s="2280"/>
      <c r="I297" s="2280"/>
      <c r="J297" s="2280"/>
      <c r="K297" s="2280"/>
      <c r="L297" s="2280"/>
      <c r="M297" s="2280"/>
      <c r="N297" s="2280"/>
      <c r="O297" s="2280"/>
      <c r="P297" s="2280"/>
      <c r="Q297" s="2280"/>
      <c r="R297" s="2280"/>
      <c r="S297" s="2280"/>
      <c r="T297" s="2280"/>
      <c r="U297" s="2280"/>
      <c r="V297" s="2280"/>
      <c r="W297" s="2280"/>
      <c r="X297" s="2280"/>
      <c r="Y297" s="2280"/>
      <c r="Z297" s="2280"/>
      <c r="AA297" s="2280"/>
      <c r="AB297" s="2280"/>
      <c r="AC297" s="2280"/>
      <c r="AD297" s="2280"/>
      <c r="AE297" s="2280"/>
      <c r="AF297" s="2280"/>
      <c r="AG297" s="2280"/>
      <c r="AH297" s="2280"/>
      <c r="AI297" s="2280"/>
      <c r="AJ297" s="2280"/>
      <c r="AK297" s="2280"/>
      <c r="AL297" s="2280"/>
      <c r="AM297" s="2280"/>
      <c r="AN297" s="1957"/>
      <c r="AO297" s="1957"/>
      <c r="AP297" s="1957"/>
      <c r="AQ297" s="1957"/>
      <c r="AR297" s="1957"/>
      <c r="AS297" s="1957"/>
      <c r="AT297" s="1957"/>
      <c r="AU297" s="1957"/>
      <c r="AV297" s="1957"/>
      <c r="AW297" s="1957"/>
      <c r="AX297" s="1957"/>
      <c r="AY297" s="1957"/>
      <c r="AZ297" s="1957"/>
      <c r="BA297" s="1957"/>
      <c r="BB297" s="1957"/>
    </row>
    <row r="298" ht="16.5" customHeight="1">
      <c r="A298" s="2280"/>
      <c r="B298" s="2280"/>
      <c r="C298" s="2280"/>
      <c r="D298" s="2280"/>
      <c r="E298" s="2280"/>
      <c r="F298" s="2280"/>
      <c r="G298" s="2280"/>
      <c r="H298" s="2280"/>
      <c r="I298" s="2280"/>
      <c r="J298" s="2280"/>
      <c r="K298" s="2280"/>
      <c r="L298" s="2280"/>
      <c r="M298" s="2280"/>
      <c r="N298" s="2280"/>
      <c r="O298" s="2280"/>
      <c r="P298" s="2280"/>
      <c r="Q298" s="2280"/>
      <c r="R298" s="2280"/>
      <c r="S298" s="2280"/>
      <c r="T298" s="2280"/>
      <c r="U298" s="2280"/>
      <c r="V298" s="2280"/>
      <c r="W298" s="2280"/>
      <c r="X298" s="2280"/>
      <c r="Y298" s="2280"/>
      <c r="Z298" s="2280"/>
      <c r="AA298" s="2280"/>
      <c r="AB298" s="2280"/>
      <c r="AC298" s="2280"/>
      <c r="AD298" s="2280"/>
      <c r="AE298" s="2280"/>
      <c r="AF298" s="2280"/>
      <c r="AG298" s="2280"/>
      <c r="AH298" s="2280"/>
      <c r="AI298" s="2280"/>
      <c r="AJ298" s="2280"/>
      <c r="AK298" s="2280"/>
      <c r="AL298" s="2280"/>
      <c r="AM298" s="2280"/>
      <c r="AN298" s="1957"/>
      <c r="AO298" s="1957"/>
      <c r="AP298" s="1957"/>
      <c r="AQ298" s="1957"/>
      <c r="AR298" s="1957"/>
      <c r="AS298" s="1957"/>
      <c r="AT298" s="1957"/>
      <c r="AU298" s="1957"/>
      <c r="AV298" s="1957"/>
      <c r="AW298" s="1957"/>
      <c r="AX298" s="1957"/>
      <c r="AY298" s="1957"/>
      <c r="AZ298" s="1957"/>
      <c r="BA298" s="1957"/>
      <c r="BB298" s="1957"/>
    </row>
    <row r="299" ht="16.5" customHeight="1">
      <c r="A299" s="2280"/>
      <c r="B299" s="2280"/>
      <c r="C299" s="2280"/>
      <c r="D299" s="2280"/>
      <c r="E299" s="2280"/>
      <c r="F299" s="2280"/>
      <c r="G299" s="2280"/>
      <c r="H299" s="2280"/>
      <c r="I299" s="2280"/>
      <c r="J299" s="2280"/>
      <c r="K299" s="2280"/>
      <c r="L299" s="2280"/>
      <c r="M299" s="2280"/>
      <c r="N299" s="2280"/>
      <c r="O299" s="2280"/>
      <c r="P299" s="2280"/>
      <c r="Q299" s="2280"/>
      <c r="R299" s="2280"/>
      <c r="S299" s="2280"/>
      <c r="T299" s="2280"/>
      <c r="U299" s="2280"/>
      <c r="V299" s="2280"/>
      <c r="W299" s="2280"/>
      <c r="X299" s="2280"/>
      <c r="Y299" s="2280"/>
      <c r="Z299" s="2280"/>
      <c r="AA299" s="2280"/>
      <c r="AB299" s="2280"/>
      <c r="AC299" s="2280"/>
      <c r="AD299" s="2280"/>
      <c r="AE299" s="2280"/>
      <c r="AF299" s="2280"/>
      <c r="AG299" s="2280"/>
      <c r="AH299" s="2280"/>
      <c r="AI299" s="2280"/>
      <c r="AJ299" s="2280"/>
      <c r="AK299" s="2280"/>
      <c r="AL299" s="2280"/>
      <c r="AM299" s="2280"/>
      <c r="AN299" s="1957"/>
      <c r="AO299" s="1957"/>
      <c r="AP299" s="1957"/>
      <c r="AQ299" s="1957"/>
      <c r="AR299" s="1957"/>
      <c r="AS299" s="1957"/>
      <c r="AT299" s="1957"/>
      <c r="AU299" s="1957"/>
      <c r="AV299" s="1957"/>
      <c r="AW299" s="1957"/>
      <c r="AX299" s="1957"/>
      <c r="AY299" s="1957"/>
      <c r="AZ299" s="1957"/>
      <c r="BA299" s="1957"/>
      <c r="BB299" s="1957"/>
    </row>
    <row r="300" ht="16.5" customHeight="1">
      <c r="A300" s="2280"/>
      <c r="B300" s="2280"/>
      <c r="C300" s="2280"/>
      <c r="D300" s="2280"/>
      <c r="E300" s="2280"/>
      <c r="F300" s="2280"/>
      <c r="G300" s="2280"/>
      <c r="H300" s="2280"/>
      <c r="I300" s="2280"/>
      <c r="J300" s="2280"/>
      <c r="K300" s="2280"/>
      <c r="L300" s="2280"/>
      <c r="M300" s="2280"/>
      <c r="N300" s="2280"/>
      <c r="O300" s="2280"/>
      <c r="P300" s="2280"/>
      <c r="Q300" s="2280"/>
      <c r="R300" s="2280"/>
      <c r="S300" s="2280"/>
      <c r="T300" s="2280"/>
      <c r="U300" s="2280"/>
      <c r="V300" s="2280"/>
      <c r="W300" s="2280"/>
      <c r="X300" s="2280"/>
      <c r="Y300" s="2280"/>
      <c r="Z300" s="2280"/>
      <c r="AA300" s="2280"/>
      <c r="AB300" s="2280"/>
      <c r="AC300" s="2280"/>
      <c r="AD300" s="2280"/>
      <c r="AE300" s="2280"/>
      <c r="AF300" s="2280"/>
      <c r="AG300" s="2280"/>
      <c r="AH300" s="2280"/>
      <c r="AI300" s="2280"/>
      <c r="AJ300" s="2280"/>
      <c r="AK300" s="2280"/>
      <c r="AL300" s="2280"/>
      <c r="AM300" s="2280"/>
      <c r="AN300" s="1957"/>
      <c r="AO300" s="1957"/>
      <c r="AP300" s="1957"/>
      <c r="AQ300" s="1957"/>
      <c r="AR300" s="1957"/>
      <c r="AS300" s="1957"/>
      <c r="AT300" s="1957"/>
      <c r="AU300" s="1957"/>
      <c r="AV300" s="1957"/>
      <c r="AW300" s="1957"/>
      <c r="AX300" s="1957"/>
      <c r="AY300" s="1957"/>
      <c r="AZ300" s="1957"/>
      <c r="BA300" s="1957"/>
      <c r="BB300" s="1957"/>
    </row>
    <row r="301" ht="16.5" customHeight="1">
      <c r="A301" s="2280"/>
      <c r="B301" s="2280"/>
      <c r="C301" s="2280"/>
      <c r="D301" s="2280"/>
      <c r="E301" s="2280"/>
      <c r="F301" s="2280"/>
      <c r="G301" s="2280"/>
      <c r="H301" s="2280"/>
      <c r="I301" s="2280"/>
      <c r="J301" s="2280"/>
      <c r="K301" s="2280"/>
      <c r="L301" s="2280"/>
      <c r="M301" s="2280"/>
      <c r="N301" s="2280"/>
      <c r="O301" s="2280"/>
      <c r="P301" s="2280"/>
      <c r="Q301" s="2280"/>
      <c r="R301" s="2280"/>
      <c r="S301" s="2280"/>
      <c r="T301" s="2280"/>
      <c r="U301" s="2280"/>
      <c r="V301" s="2280"/>
      <c r="W301" s="2280"/>
      <c r="X301" s="2280"/>
      <c r="Y301" s="2280"/>
      <c r="Z301" s="2280"/>
      <c r="AA301" s="2280"/>
      <c r="AB301" s="2280"/>
      <c r="AC301" s="2280"/>
      <c r="AD301" s="2280"/>
      <c r="AE301" s="2280"/>
      <c r="AF301" s="2280"/>
      <c r="AG301" s="2280"/>
      <c r="AH301" s="2280"/>
      <c r="AI301" s="2280"/>
      <c r="AJ301" s="2280"/>
      <c r="AK301" s="2280"/>
      <c r="AL301" s="2280"/>
      <c r="AM301" s="2280"/>
      <c r="AN301" s="1957"/>
      <c r="AO301" s="1957"/>
      <c r="AP301" s="1957"/>
      <c r="AQ301" s="1957"/>
      <c r="AR301" s="1957"/>
      <c r="AS301" s="1957"/>
      <c r="AT301" s="1957"/>
      <c r="AU301" s="1957"/>
      <c r="AV301" s="1957"/>
      <c r="AW301" s="1957"/>
      <c r="AX301" s="1957"/>
      <c r="AY301" s="1957"/>
      <c r="AZ301" s="1957"/>
      <c r="BA301" s="1957"/>
      <c r="BB301" s="1957"/>
    </row>
    <row r="302" ht="16.5" customHeight="1">
      <c r="A302" s="2280"/>
      <c r="B302" s="2280"/>
      <c r="C302" s="2280"/>
      <c r="D302" s="2280"/>
      <c r="E302" s="2280"/>
      <c r="F302" s="2280"/>
      <c r="G302" s="2280"/>
      <c r="H302" s="2280"/>
      <c r="I302" s="2280"/>
      <c r="J302" s="2280"/>
      <c r="K302" s="2280"/>
      <c r="L302" s="2280"/>
      <c r="M302" s="2280"/>
      <c r="N302" s="2280"/>
      <c r="O302" s="2280"/>
      <c r="P302" s="2280"/>
      <c r="Q302" s="2280"/>
      <c r="R302" s="2280"/>
      <c r="S302" s="2280"/>
      <c r="T302" s="2280"/>
      <c r="U302" s="2280"/>
      <c r="V302" s="2280"/>
      <c r="W302" s="2280"/>
      <c r="X302" s="2280"/>
      <c r="Y302" s="2280"/>
      <c r="Z302" s="2280"/>
      <c r="AA302" s="2280"/>
      <c r="AB302" s="2280"/>
      <c r="AC302" s="2280"/>
      <c r="AD302" s="2280"/>
      <c r="AE302" s="2280"/>
      <c r="AF302" s="2280"/>
      <c r="AG302" s="2280"/>
      <c r="AH302" s="2280"/>
      <c r="AI302" s="2280"/>
      <c r="AJ302" s="2280"/>
      <c r="AK302" s="2280"/>
      <c r="AL302" s="2280"/>
      <c r="AM302" s="2280"/>
      <c r="AN302" s="1957"/>
      <c r="AO302" s="1957"/>
      <c r="AP302" s="1957"/>
      <c r="AQ302" s="1957"/>
      <c r="AR302" s="1957"/>
      <c r="AS302" s="1957"/>
      <c r="AT302" s="1957"/>
      <c r="AU302" s="1957"/>
      <c r="AV302" s="1957"/>
      <c r="AW302" s="1957"/>
      <c r="AX302" s="1957"/>
      <c r="AY302" s="1957"/>
      <c r="AZ302" s="1957"/>
      <c r="BA302" s="1957"/>
      <c r="BB302" s="1957"/>
    </row>
    <row r="303" ht="16.5" customHeight="1">
      <c r="A303" s="2280"/>
      <c r="B303" s="2280"/>
      <c r="C303" s="2280"/>
      <c r="D303" s="2280"/>
      <c r="E303" s="2280"/>
      <c r="F303" s="2280"/>
      <c r="G303" s="2280"/>
      <c r="H303" s="2280"/>
      <c r="I303" s="2280"/>
      <c r="J303" s="2280"/>
      <c r="K303" s="2280"/>
      <c r="L303" s="2280"/>
      <c r="M303" s="2280"/>
      <c r="N303" s="2280"/>
      <c r="O303" s="2280"/>
      <c r="P303" s="2280"/>
      <c r="Q303" s="2280"/>
      <c r="R303" s="2280"/>
      <c r="S303" s="2280"/>
      <c r="T303" s="2280"/>
      <c r="U303" s="2280"/>
      <c r="V303" s="2280"/>
      <c r="W303" s="2280"/>
      <c r="X303" s="2280"/>
      <c r="Y303" s="2280"/>
      <c r="Z303" s="2280"/>
      <c r="AA303" s="2280"/>
      <c r="AB303" s="2280"/>
      <c r="AC303" s="2280"/>
      <c r="AD303" s="2280"/>
      <c r="AE303" s="2280"/>
      <c r="AF303" s="2280"/>
      <c r="AG303" s="2280"/>
      <c r="AH303" s="2280"/>
      <c r="AI303" s="2280"/>
      <c r="AJ303" s="2280"/>
      <c r="AK303" s="2280"/>
      <c r="AL303" s="2280"/>
      <c r="AM303" s="2280"/>
      <c r="AN303" s="1957"/>
      <c r="AO303" s="1957"/>
      <c r="AP303" s="1957"/>
      <c r="AQ303" s="1957"/>
      <c r="AR303" s="1957"/>
      <c r="AS303" s="1957"/>
      <c r="AT303" s="1957"/>
      <c r="AU303" s="1957"/>
      <c r="AV303" s="1957"/>
      <c r="AW303" s="1957"/>
      <c r="AX303" s="1957"/>
      <c r="AY303" s="1957"/>
      <c r="AZ303" s="1957"/>
      <c r="BA303" s="1957"/>
      <c r="BB303" s="1957"/>
    </row>
    <row r="304" ht="16.5" customHeight="1">
      <c r="A304" s="2280"/>
      <c r="B304" s="2280"/>
      <c r="C304" s="2280"/>
      <c r="D304" s="2280"/>
      <c r="E304" s="2280"/>
      <c r="F304" s="2280"/>
      <c r="G304" s="2280"/>
      <c r="H304" s="2280"/>
      <c r="I304" s="2280"/>
      <c r="J304" s="2280"/>
      <c r="K304" s="2280"/>
      <c r="L304" s="2280"/>
      <c r="M304" s="2280"/>
      <c r="N304" s="2280"/>
      <c r="O304" s="2280"/>
      <c r="P304" s="2280"/>
      <c r="Q304" s="2280"/>
      <c r="R304" s="2280"/>
      <c r="S304" s="2280"/>
      <c r="T304" s="2280"/>
      <c r="U304" s="2280"/>
      <c r="V304" s="2280"/>
      <c r="W304" s="2280"/>
      <c r="X304" s="2280"/>
      <c r="Y304" s="2280"/>
      <c r="Z304" s="2280"/>
      <c r="AA304" s="2280"/>
      <c r="AB304" s="2280"/>
      <c r="AC304" s="2280"/>
      <c r="AD304" s="2280"/>
      <c r="AE304" s="2280"/>
      <c r="AF304" s="2280"/>
      <c r="AG304" s="2280"/>
      <c r="AH304" s="2280"/>
      <c r="AI304" s="2280"/>
      <c r="AJ304" s="2280"/>
      <c r="AK304" s="2280"/>
      <c r="AL304" s="2280"/>
      <c r="AM304" s="2280"/>
      <c r="AN304" s="1957"/>
      <c r="AO304" s="1957"/>
      <c r="AP304" s="1957"/>
      <c r="AQ304" s="1957"/>
      <c r="AR304" s="1957"/>
      <c r="AS304" s="1957"/>
      <c r="AT304" s="1957"/>
      <c r="AU304" s="1957"/>
      <c r="AV304" s="1957"/>
      <c r="AW304" s="1957"/>
      <c r="AX304" s="1957"/>
      <c r="AY304" s="1957"/>
      <c r="AZ304" s="1957"/>
      <c r="BA304" s="1957"/>
      <c r="BB304" s="1957"/>
    </row>
    <row r="305" ht="16.5" customHeight="1">
      <c r="A305" s="2280"/>
      <c r="B305" s="2280"/>
      <c r="C305" s="2280"/>
      <c r="D305" s="2280"/>
      <c r="E305" s="2280"/>
      <c r="F305" s="2280"/>
      <c r="G305" s="2280"/>
      <c r="H305" s="2280"/>
      <c r="I305" s="2280"/>
      <c r="J305" s="2280"/>
      <c r="K305" s="2280"/>
      <c r="L305" s="2280"/>
      <c r="M305" s="2280"/>
      <c r="N305" s="2280"/>
      <c r="O305" s="2280"/>
      <c r="P305" s="2280"/>
      <c r="Q305" s="2280"/>
      <c r="R305" s="2280"/>
      <c r="S305" s="2280"/>
      <c r="T305" s="2280"/>
      <c r="U305" s="2280"/>
      <c r="V305" s="2280"/>
      <c r="W305" s="2280"/>
      <c r="X305" s="2280"/>
      <c r="Y305" s="2280"/>
      <c r="Z305" s="2280"/>
      <c r="AA305" s="2280"/>
      <c r="AB305" s="2280"/>
      <c r="AC305" s="2280"/>
      <c r="AD305" s="2280"/>
      <c r="AE305" s="2280"/>
      <c r="AF305" s="2280"/>
      <c r="AG305" s="2280"/>
      <c r="AH305" s="2280"/>
      <c r="AI305" s="2280"/>
      <c r="AJ305" s="2280"/>
      <c r="AK305" s="2280"/>
      <c r="AL305" s="2280"/>
      <c r="AM305" s="2280"/>
      <c r="AN305" s="1957"/>
      <c r="AO305" s="1957"/>
      <c r="AP305" s="1957"/>
      <c r="AQ305" s="1957"/>
      <c r="AR305" s="1957"/>
      <c r="AS305" s="1957"/>
      <c r="AT305" s="1957"/>
      <c r="AU305" s="1957"/>
      <c r="AV305" s="1957"/>
      <c r="AW305" s="1957"/>
      <c r="AX305" s="1957"/>
      <c r="AY305" s="1957"/>
      <c r="AZ305" s="1957"/>
      <c r="BA305" s="1957"/>
      <c r="BB305" s="1957"/>
    </row>
    <row r="306" ht="16.5" customHeight="1">
      <c r="A306" s="2280"/>
      <c r="B306" s="2280"/>
      <c r="C306" s="2280"/>
      <c r="D306" s="2280"/>
      <c r="E306" s="2280"/>
      <c r="F306" s="2280"/>
      <c r="G306" s="2280"/>
      <c r="H306" s="2280"/>
      <c r="I306" s="2280"/>
      <c r="J306" s="2280"/>
      <c r="K306" s="2280"/>
      <c r="L306" s="2280"/>
      <c r="M306" s="2280"/>
      <c r="N306" s="2280"/>
      <c r="O306" s="2280"/>
      <c r="P306" s="2280"/>
      <c r="Q306" s="2280"/>
      <c r="R306" s="2280"/>
      <c r="S306" s="2280"/>
      <c r="T306" s="2280"/>
      <c r="U306" s="2280"/>
      <c r="V306" s="2280"/>
      <c r="W306" s="2280"/>
      <c r="X306" s="2280"/>
      <c r="Y306" s="2280"/>
      <c r="Z306" s="2280"/>
      <c r="AA306" s="2280"/>
      <c r="AB306" s="2280"/>
      <c r="AC306" s="2280"/>
      <c r="AD306" s="2280"/>
      <c r="AE306" s="2280"/>
      <c r="AF306" s="2280"/>
      <c r="AG306" s="2280"/>
      <c r="AH306" s="2280"/>
      <c r="AI306" s="2280"/>
      <c r="AJ306" s="2280"/>
      <c r="AK306" s="2280"/>
      <c r="AL306" s="2280"/>
      <c r="AM306" s="2280"/>
      <c r="AN306" s="1957"/>
      <c r="AO306" s="1957"/>
      <c r="AP306" s="1957"/>
      <c r="AQ306" s="1957"/>
      <c r="AR306" s="1957"/>
      <c r="AS306" s="1957"/>
      <c r="AT306" s="1957"/>
      <c r="AU306" s="1957"/>
      <c r="AV306" s="1957"/>
      <c r="AW306" s="1957"/>
      <c r="AX306" s="1957"/>
      <c r="AY306" s="1957"/>
      <c r="AZ306" s="1957"/>
      <c r="BA306" s="1957"/>
      <c r="BB306" s="1957"/>
    </row>
    <row r="307" ht="16.5" customHeight="1">
      <c r="A307" s="2280"/>
      <c r="B307" s="2280"/>
      <c r="C307" s="2280"/>
      <c r="D307" s="2280"/>
      <c r="E307" s="2280"/>
      <c r="F307" s="2280"/>
      <c r="G307" s="2280"/>
      <c r="H307" s="2280"/>
      <c r="I307" s="2280"/>
      <c r="J307" s="2280"/>
      <c r="K307" s="2280"/>
      <c r="L307" s="2280"/>
      <c r="M307" s="2280"/>
      <c r="N307" s="2280"/>
      <c r="O307" s="2280"/>
      <c r="P307" s="2280"/>
      <c r="Q307" s="2280"/>
      <c r="R307" s="2280"/>
      <c r="S307" s="2280"/>
      <c r="T307" s="2280"/>
      <c r="U307" s="2280"/>
      <c r="V307" s="2280"/>
      <c r="W307" s="2280"/>
      <c r="X307" s="2280"/>
      <c r="Y307" s="2280"/>
      <c r="Z307" s="2280"/>
      <c r="AA307" s="2280"/>
      <c r="AB307" s="2280"/>
      <c r="AC307" s="2280"/>
      <c r="AD307" s="2280"/>
      <c r="AE307" s="2280"/>
      <c r="AF307" s="2280"/>
      <c r="AG307" s="2280"/>
      <c r="AH307" s="2280"/>
      <c r="AI307" s="2280"/>
      <c r="AJ307" s="2280"/>
      <c r="AK307" s="2280"/>
      <c r="AL307" s="2280"/>
      <c r="AM307" s="2280"/>
      <c r="AN307" s="1957"/>
      <c r="AO307" s="1957"/>
      <c r="AP307" s="1957"/>
      <c r="AQ307" s="1957"/>
      <c r="AR307" s="1957"/>
      <c r="AS307" s="1957"/>
      <c r="AT307" s="1957"/>
      <c r="AU307" s="1957"/>
      <c r="AV307" s="1957"/>
      <c r="AW307" s="1957"/>
      <c r="AX307" s="1957"/>
      <c r="AY307" s="1957"/>
      <c r="AZ307" s="1957"/>
      <c r="BA307" s="1957"/>
      <c r="BB307" s="1957"/>
    </row>
    <row r="308" ht="16.5" customHeight="1">
      <c r="A308" s="2280"/>
      <c r="B308" s="2280"/>
      <c r="C308" s="2280"/>
      <c r="D308" s="2280"/>
      <c r="E308" s="2280"/>
      <c r="F308" s="2280"/>
      <c r="G308" s="2280"/>
      <c r="H308" s="2280"/>
      <c r="I308" s="2280"/>
      <c r="J308" s="2280"/>
      <c r="K308" s="2280"/>
      <c r="L308" s="2280"/>
      <c r="M308" s="2280"/>
      <c r="N308" s="2280"/>
      <c r="O308" s="2280"/>
      <c r="P308" s="2280"/>
      <c r="Q308" s="2280"/>
      <c r="R308" s="2280"/>
      <c r="S308" s="2280"/>
      <c r="T308" s="2280"/>
      <c r="U308" s="2280"/>
      <c r="V308" s="2280"/>
      <c r="W308" s="2280"/>
      <c r="X308" s="2280"/>
      <c r="Y308" s="2280"/>
      <c r="Z308" s="2280"/>
      <c r="AA308" s="2280"/>
      <c r="AB308" s="2280"/>
      <c r="AC308" s="2280"/>
      <c r="AD308" s="2280"/>
      <c r="AE308" s="2280"/>
      <c r="AF308" s="2280"/>
      <c r="AG308" s="2280"/>
      <c r="AH308" s="2280"/>
      <c r="AI308" s="2280"/>
      <c r="AJ308" s="2280"/>
      <c r="AK308" s="2280"/>
      <c r="AL308" s="2280"/>
      <c r="AM308" s="2280"/>
      <c r="AN308" s="1957"/>
      <c r="AO308" s="1957"/>
      <c r="AP308" s="1957"/>
      <c r="AQ308" s="1957"/>
      <c r="AR308" s="1957"/>
      <c r="AS308" s="1957"/>
      <c r="AT308" s="1957"/>
      <c r="AU308" s="1957"/>
      <c r="AV308" s="1957"/>
      <c r="AW308" s="1957"/>
      <c r="AX308" s="1957"/>
      <c r="AY308" s="1957"/>
      <c r="AZ308" s="1957"/>
      <c r="BA308" s="1957"/>
      <c r="BB308" s="1957"/>
    </row>
    <row r="309" ht="16.5" customHeight="1">
      <c r="A309" s="89" t="s">
        <v>294</v>
      </c>
      <c r="AN309" s="1957"/>
      <c r="AO309" s="1957"/>
      <c r="AP309" s="1957"/>
      <c r="AQ309" s="1957"/>
      <c r="AR309" s="1957"/>
      <c r="AS309" s="1957"/>
      <c r="AT309" s="1957"/>
      <c r="AU309" s="1957"/>
      <c r="AV309" s="1957"/>
      <c r="AW309" s="1957"/>
      <c r="AX309" s="1957"/>
      <c r="AY309" s="1957"/>
      <c r="AZ309" s="1957"/>
      <c r="BA309" s="1957"/>
      <c r="BB309" s="1957"/>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957"/>
      <c r="AO310" s="1957"/>
      <c r="AP310" s="1957"/>
      <c r="AQ310" s="1957"/>
      <c r="AR310" s="1957"/>
      <c r="AS310" s="1957"/>
      <c r="AT310" s="1957"/>
      <c r="AU310" s="1957"/>
      <c r="AV310" s="1957"/>
      <c r="AW310" s="1957"/>
      <c r="AX310" s="1957"/>
      <c r="AY310" s="1957"/>
      <c r="AZ310" s="1957"/>
      <c r="BA310" s="1957"/>
      <c r="BB310" s="1957"/>
    </row>
    <row r="311" ht="12.75" customHeight="1">
      <c r="A311" s="1769" t="str">
        <f>VLOOKUP("4.jp*g",Fotos!$A$2:$E444,5,FALSE)</f>
        <v/>
      </c>
      <c r="N311" s="1029"/>
      <c r="O311" s="1769" t="str">
        <f>VLOOKUP("5.jp*g",Fotos!$A$2:$E444,5,FALSE)</f>
        <v/>
      </c>
      <c r="AB311" s="1029"/>
      <c r="AC311" s="1769" t="str">
        <f>VLOOKUP("6.jp*g",Fotos!$A$2:$E444,5,FALSE)</f>
        <v/>
      </c>
      <c r="AN311" s="1957"/>
      <c r="AO311" s="1957"/>
      <c r="AP311" s="1471"/>
      <c r="AQ311" s="1471"/>
      <c r="AR311" s="1471"/>
      <c r="AS311" s="1471"/>
      <c r="AT311" s="1471"/>
      <c r="AU311" s="1471"/>
      <c r="AV311" s="1471"/>
      <c r="AW311" s="1471"/>
      <c r="AX311" s="1471"/>
      <c r="AY311" s="1471"/>
      <c r="AZ311" s="1471"/>
      <c r="BA311" s="1471"/>
      <c r="BB311" s="1471"/>
      <c r="BC311" s="34"/>
      <c r="BD311" s="34"/>
      <c r="BE311" s="34"/>
      <c r="BF311" s="34"/>
      <c r="BG311" s="34"/>
      <c r="BH311" s="34"/>
      <c r="BI311" s="34"/>
      <c r="BJ311" s="34"/>
      <c r="BK311" s="34"/>
      <c r="BL311" s="34"/>
      <c r="BM311" s="34"/>
      <c r="BN311" s="34"/>
      <c r="BO311" s="34"/>
      <c r="BP311" s="34"/>
      <c r="BQ311" s="34"/>
      <c r="BR311" s="34"/>
    </row>
    <row r="312" ht="12.75" customHeight="1">
      <c r="N312" s="1029"/>
      <c r="AB312" s="1029"/>
      <c r="AN312" s="1957"/>
      <c r="AO312" s="1957"/>
      <c r="AP312" s="1471"/>
      <c r="AQ312" s="1471"/>
      <c r="AR312" s="1471"/>
      <c r="AS312" s="1471"/>
      <c r="AT312" s="1471"/>
      <c r="AU312" s="1471"/>
      <c r="AV312" s="1471"/>
      <c r="AW312" s="1471"/>
      <c r="AX312" s="1471"/>
      <c r="AY312" s="1471"/>
      <c r="AZ312" s="1471"/>
      <c r="BA312" s="1471"/>
      <c r="BB312" s="1471"/>
      <c r="BC312" s="34"/>
      <c r="BD312" s="34"/>
      <c r="BE312" s="34"/>
      <c r="BF312" s="34"/>
      <c r="BG312" s="34"/>
      <c r="BH312" s="34"/>
      <c r="BI312" s="34"/>
      <c r="BJ312" s="34"/>
      <c r="BK312" s="34"/>
      <c r="BL312" s="34"/>
      <c r="BM312" s="34"/>
      <c r="BN312" s="34"/>
      <c r="BO312" s="34"/>
      <c r="BP312" s="34"/>
      <c r="BQ312" s="34"/>
      <c r="BR312" s="34"/>
    </row>
    <row r="313" ht="12.75" customHeight="1">
      <c r="N313" s="1029"/>
      <c r="AB313" s="1029"/>
      <c r="AN313" s="1957"/>
      <c r="AO313" s="1957"/>
      <c r="AP313" s="1471"/>
      <c r="AQ313" s="1471"/>
      <c r="AR313" s="1471"/>
      <c r="AS313" s="1471"/>
      <c r="AT313" s="1471"/>
      <c r="AU313" s="1471"/>
      <c r="AV313" s="1471"/>
      <c r="AW313" s="1471"/>
      <c r="AX313" s="1471"/>
      <c r="AY313" s="1471"/>
      <c r="AZ313" s="1471"/>
      <c r="BA313" s="1471"/>
      <c r="BB313" s="1471"/>
      <c r="BC313" s="34"/>
      <c r="BD313" s="34"/>
      <c r="BE313" s="34"/>
      <c r="BF313" s="34"/>
      <c r="BG313" s="34"/>
      <c r="BH313" s="34"/>
      <c r="BI313" s="34"/>
      <c r="BJ313" s="34"/>
      <c r="BK313" s="34"/>
      <c r="BL313" s="34"/>
      <c r="BM313" s="34"/>
      <c r="BN313" s="34"/>
      <c r="BO313" s="34"/>
      <c r="BP313" s="34"/>
      <c r="BQ313" s="34"/>
      <c r="BR313" s="34"/>
    </row>
    <row r="314" ht="12.75" customHeight="1">
      <c r="N314" s="1029"/>
      <c r="AB314" s="1029"/>
      <c r="AN314" s="1957"/>
      <c r="AO314" s="1957"/>
      <c r="AP314" s="1471"/>
      <c r="AQ314" s="1471"/>
      <c r="AR314" s="1471"/>
      <c r="AS314" s="1471"/>
      <c r="AT314" s="1471"/>
      <c r="AU314" s="1471"/>
      <c r="AV314" s="1471"/>
      <c r="AW314" s="1471"/>
      <c r="AX314" s="1471"/>
      <c r="AY314" s="1471"/>
      <c r="AZ314" s="1471"/>
      <c r="BA314" s="1471"/>
      <c r="BB314" s="1471"/>
      <c r="BC314" s="34"/>
      <c r="BD314" s="34"/>
      <c r="BE314" s="34"/>
      <c r="BF314" s="34"/>
      <c r="BG314" s="34"/>
      <c r="BH314" s="34"/>
      <c r="BI314" s="34"/>
      <c r="BJ314" s="34"/>
      <c r="BK314" s="34"/>
      <c r="BL314" s="34"/>
      <c r="BM314" s="34"/>
      <c r="BN314" s="34"/>
      <c r="BO314" s="34"/>
      <c r="BP314" s="34"/>
      <c r="BQ314" s="34"/>
      <c r="BR314" s="34"/>
    </row>
    <row r="315" ht="12.75" customHeight="1">
      <c r="N315" s="1029"/>
      <c r="AB315" s="1029"/>
      <c r="AN315" s="1957"/>
      <c r="AO315" s="1957"/>
      <c r="AP315" s="1471"/>
      <c r="AQ315" s="1471"/>
      <c r="AR315" s="1471"/>
      <c r="AS315" s="1471"/>
      <c r="AT315" s="1471"/>
      <c r="AU315" s="1471"/>
      <c r="AV315" s="1471"/>
      <c r="AW315" s="1471"/>
      <c r="AX315" s="1471"/>
      <c r="AY315" s="1471"/>
      <c r="AZ315" s="1471"/>
      <c r="BA315" s="1471"/>
      <c r="BB315" s="1471"/>
      <c r="BC315" s="34"/>
      <c r="BD315" s="34"/>
      <c r="BE315" s="34"/>
      <c r="BF315" s="34"/>
      <c r="BG315" s="34"/>
      <c r="BH315" s="34"/>
      <c r="BI315" s="34"/>
      <c r="BJ315" s="34"/>
      <c r="BK315" s="34"/>
      <c r="BL315" s="34"/>
      <c r="BM315" s="34"/>
      <c r="BN315" s="34"/>
      <c r="BO315" s="34"/>
      <c r="BP315" s="34"/>
      <c r="BQ315" s="34"/>
      <c r="BR315" s="34"/>
    </row>
    <row r="316" ht="12.75" customHeight="1">
      <c r="N316" s="1029"/>
      <c r="AB316" s="1029"/>
      <c r="AN316" s="1957"/>
      <c r="AO316" s="1957"/>
      <c r="AP316" s="1471"/>
      <c r="AQ316" s="1471"/>
      <c r="AR316" s="1471"/>
      <c r="AS316" s="1471"/>
      <c r="AT316" s="1471"/>
      <c r="AU316" s="1471"/>
      <c r="AV316" s="1471"/>
      <c r="AW316" s="1471"/>
      <c r="AX316" s="1471"/>
      <c r="AY316" s="1471"/>
      <c r="AZ316" s="1471"/>
      <c r="BA316" s="1471"/>
      <c r="BB316" s="1471"/>
      <c r="BC316" s="34"/>
      <c r="BD316" s="34"/>
      <c r="BE316" s="34"/>
      <c r="BF316" s="34"/>
      <c r="BG316" s="34"/>
      <c r="BH316" s="34"/>
      <c r="BI316" s="34"/>
      <c r="BJ316" s="34"/>
      <c r="BK316" s="34"/>
      <c r="BL316" s="34"/>
      <c r="BM316" s="34"/>
      <c r="BN316" s="34"/>
      <c r="BO316" s="34"/>
      <c r="BP316" s="34"/>
      <c r="BQ316" s="34"/>
      <c r="BR316" s="34"/>
    </row>
    <row r="317" ht="12.75" customHeight="1">
      <c r="N317" s="1029"/>
      <c r="AB317" s="1029"/>
      <c r="AN317" s="1957"/>
      <c r="AO317" s="1957"/>
      <c r="AP317" s="1471"/>
      <c r="AQ317" s="1471"/>
      <c r="AR317" s="1471"/>
      <c r="AS317" s="1471"/>
      <c r="AT317" s="1471"/>
      <c r="AU317" s="1471"/>
      <c r="AV317" s="1471"/>
      <c r="AW317" s="1471"/>
      <c r="AX317" s="1471"/>
      <c r="AY317" s="1471"/>
      <c r="AZ317" s="1471"/>
      <c r="BA317" s="1471"/>
      <c r="BB317" s="1471"/>
      <c r="BC317" s="34"/>
      <c r="BD317" s="34"/>
      <c r="BE317" s="34"/>
      <c r="BF317" s="34"/>
      <c r="BG317" s="34"/>
      <c r="BH317" s="34"/>
      <c r="BI317" s="34"/>
      <c r="BJ317" s="34"/>
      <c r="BK317" s="34"/>
      <c r="BL317" s="34"/>
      <c r="BM317" s="34"/>
      <c r="BN317" s="34"/>
      <c r="BO317" s="34"/>
      <c r="BP317" s="34"/>
      <c r="BQ317" s="34"/>
      <c r="BR317" s="34"/>
    </row>
    <row r="318" ht="12.75" customHeight="1">
      <c r="N318" s="1029"/>
      <c r="AB318" s="1029"/>
      <c r="AN318" s="1957"/>
      <c r="AO318" s="1957"/>
      <c r="AP318" s="1471"/>
      <c r="AQ318" s="1471"/>
      <c r="AR318" s="1471"/>
      <c r="AS318" s="1471"/>
      <c r="AT318" s="1471"/>
      <c r="AU318" s="1471"/>
      <c r="AV318" s="1471"/>
      <c r="AW318" s="1471"/>
      <c r="AX318" s="1471"/>
      <c r="AY318" s="1471"/>
      <c r="AZ318" s="1471"/>
      <c r="BA318" s="1471"/>
      <c r="BB318" s="1471"/>
      <c r="BC318" s="34"/>
      <c r="BD318" s="34"/>
      <c r="BE318" s="34"/>
      <c r="BF318" s="34"/>
      <c r="BG318" s="34"/>
      <c r="BH318" s="34"/>
      <c r="BI318" s="34"/>
      <c r="BJ318" s="34"/>
      <c r="BK318" s="34"/>
      <c r="BL318" s="34"/>
      <c r="BM318" s="34"/>
      <c r="BN318" s="34"/>
      <c r="BO318" s="34"/>
      <c r="BP318" s="34"/>
      <c r="BQ318" s="34"/>
      <c r="BR318" s="34"/>
    </row>
    <row r="319" ht="12.75" customHeight="1">
      <c r="N319" s="1029"/>
      <c r="AB319" s="1029"/>
      <c r="AN319" s="1957"/>
      <c r="AO319" s="1957"/>
      <c r="AP319" s="1471"/>
      <c r="AQ319" s="1471"/>
      <c r="AR319" s="1471"/>
      <c r="AS319" s="1471"/>
      <c r="AT319" s="1471"/>
      <c r="AU319" s="1471"/>
      <c r="AV319" s="1471"/>
      <c r="AW319" s="1471"/>
      <c r="AX319" s="1471"/>
      <c r="AY319" s="1471"/>
      <c r="AZ319" s="1471"/>
      <c r="BA319" s="1471"/>
      <c r="BB319" s="1471"/>
      <c r="BC319" s="34"/>
      <c r="BD319" s="34"/>
      <c r="BE319" s="34"/>
      <c r="BF319" s="34"/>
      <c r="BG319" s="34"/>
      <c r="BH319" s="34"/>
      <c r="BI319" s="34"/>
      <c r="BJ319" s="34"/>
      <c r="BK319" s="34"/>
      <c r="BL319" s="34"/>
      <c r="BM319" s="34"/>
      <c r="BN319" s="34"/>
      <c r="BO319" s="34"/>
      <c r="BP319" s="34"/>
      <c r="BQ319" s="34"/>
      <c r="BR319" s="34"/>
    </row>
    <row r="320" ht="12.75" customHeight="1">
      <c r="N320" s="1029"/>
      <c r="AB320" s="1029"/>
      <c r="AN320" s="1957"/>
      <c r="AO320" s="1957"/>
      <c r="AP320" s="1471"/>
      <c r="AQ320" s="1471"/>
      <c r="AR320" s="1471"/>
      <c r="AS320" s="1471"/>
      <c r="AT320" s="1471"/>
      <c r="AU320" s="1471"/>
      <c r="AV320" s="1471"/>
      <c r="AW320" s="1471"/>
      <c r="AX320" s="1471"/>
      <c r="AY320" s="1471"/>
      <c r="AZ320" s="1471"/>
      <c r="BA320" s="1471"/>
      <c r="BB320" s="1471"/>
      <c r="BC320" s="34"/>
      <c r="BD320" s="34"/>
      <c r="BE320" s="34"/>
      <c r="BF320" s="34"/>
      <c r="BG320" s="34"/>
      <c r="BH320" s="34"/>
      <c r="BI320" s="34"/>
      <c r="BJ320" s="34"/>
      <c r="BK320" s="34"/>
      <c r="BL320" s="34"/>
      <c r="BM320" s="34"/>
      <c r="BN320" s="34"/>
      <c r="BO320" s="34"/>
      <c r="BP320" s="34"/>
      <c r="BQ320" s="34"/>
      <c r="BR320" s="34"/>
    </row>
    <row r="321" ht="12.75" customHeight="1">
      <c r="N321" s="1029"/>
      <c r="AB321" s="1029"/>
      <c r="AN321" s="1957"/>
      <c r="AO321" s="1957"/>
      <c r="AP321" s="1471"/>
      <c r="AQ321" s="1471"/>
      <c r="AR321" s="1471"/>
      <c r="AS321" s="1471"/>
      <c r="AT321" s="1471"/>
      <c r="AU321" s="1471"/>
      <c r="AV321" s="1471"/>
      <c r="AW321" s="1471"/>
      <c r="AX321" s="1471"/>
      <c r="AY321" s="1471"/>
      <c r="AZ321" s="1471"/>
      <c r="BA321" s="1471"/>
      <c r="BB321" s="1471"/>
      <c r="BC321" s="34"/>
      <c r="BD321" s="34"/>
      <c r="BE321" s="34"/>
      <c r="BF321" s="34"/>
      <c r="BG321" s="34"/>
      <c r="BH321" s="34"/>
      <c r="BI321" s="34"/>
      <c r="BJ321" s="34"/>
      <c r="BK321" s="34"/>
      <c r="BL321" s="34"/>
      <c r="BM321" s="34"/>
      <c r="BN321" s="34"/>
      <c r="BO321" s="34"/>
      <c r="BP321" s="34"/>
      <c r="BQ321" s="34"/>
      <c r="BR321" s="34"/>
    </row>
    <row r="322" ht="12.75" customHeight="1">
      <c r="N322" s="1029"/>
      <c r="AB322" s="1029"/>
      <c r="AN322" s="1957"/>
      <c r="AO322" s="1957"/>
      <c r="AP322" s="1471"/>
      <c r="AQ322" s="1471"/>
      <c r="AR322" s="1471"/>
      <c r="AS322" s="1471"/>
      <c r="AT322" s="1471"/>
      <c r="AU322" s="1471"/>
      <c r="AV322" s="1471"/>
      <c r="AW322" s="1471"/>
      <c r="AX322" s="1471"/>
      <c r="AY322" s="1471"/>
      <c r="AZ322" s="1471"/>
      <c r="BA322" s="1471"/>
      <c r="BB322" s="1471"/>
      <c r="BC322" s="34"/>
      <c r="BD322" s="34"/>
      <c r="BE322" s="34"/>
      <c r="BF322" s="34"/>
      <c r="BG322" s="34"/>
      <c r="BH322" s="34"/>
      <c r="BI322" s="34"/>
      <c r="BJ322" s="34"/>
      <c r="BK322" s="34"/>
      <c r="BL322" s="34"/>
      <c r="BM322" s="34"/>
      <c r="BN322" s="34"/>
      <c r="BO322" s="34"/>
      <c r="BP322" s="34"/>
      <c r="BQ322" s="34"/>
      <c r="BR322" s="34"/>
    </row>
    <row r="323" ht="12.75" customHeight="1">
      <c r="N323" s="1029"/>
      <c r="AB323" s="1029"/>
      <c r="AN323" s="1957"/>
      <c r="AO323" s="1957"/>
      <c r="AP323" s="1471"/>
      <c r="AQ323" s="1471"/>
      <c r="AR323" s="1471"/>
      <c r="AS323" s="1471"/>
      <c r="AT323" s="1471"/>
      <c r="AU323" s="1471"/>
      <c r="AV323" s="1471"/>
      <c r="AW323" s="1471"/>
      <c r="AX323" s="1471"/>
      <c r="AY323" s="1471"/>
      <c r="AZ323" s="1471"/>
      <c r="BA323" s="1471"/>
      <c r="BB323" s="1471"/>
      <c r="BC323" s="34"/>
      <c r="BD323" s="34"/>
      <c r="BE323" s="34"/>
      <c r="BF323" s="34"/>
      <c r="BG323" s="34"/>
      <c r="BH323" s="34"/>
      <c r="BI323" s="34"/>
      <c r="BJ323" s="34"/>
      <c r="BK323" s="34"/>
      <c r="BL323" s="34"/>
      <c r="BM323" s="34"/>
      <c r="BN323" s="34"/>
      <c r="BO323" s="34"/>
      <c r="BP323" s="34"/>
      <c r="BQ323" s="34"/>
      <c r="BR323" s="34"/>
    </row>
    <row r="324" ht="12.75" customHeight="1">
      <c r="A324" s="1029"/>
      <c r="B324" s="1029"/>
      <c r="C324" s="1029"/>
      <c r="D324" s="1029"/>
      <c r="E324" s="1029"/>
      <c r="F324" s="1029"/>
      <c r="G324" s="1029"/>
      <c r="H324" s="1029"/>
      <c r="I324" s="1029"/>
      <c r="J324" s="1029"/>
      <c r="K324" s="1029"/>
      <c r="L324" s="1029"/>
      <c r="M324" s="1029"/>
      <c r="N324" s="1029"/>
      <c r="O324" s="1029"/>
      <c r="P324" s="1029"/>
      <c r="Q324" s="1029"/>
      <c r="R324" s="1029"/>
      <c r="S324" s="1029"/>
      <c r="T324" s="1029"/>
      <c r="U324" s="1029"/>
      <c r="V324" s="1029"/>
      <c r="W324" s="1029"/>
      <c r="X324" s="1029"/>
      <c r="Y324" s="1029"/>
      <c r="Z324" s="1029"/>
      <c r="AA324" s="1029"/>
      <c r="AB324" s="1029"/>
      <c r="AC324" s="1029"/>
      <c r="AD324" s="1029"/>
      <c r="AE324" s="1029"/>
      <c r="AF324" s="1029"/>
      <c r="AG324" s="1029"/>
      <c r="AH324" s="1029"/>
      <c r="AI324" s="1029"/>
      <c r="AJ324" s="1029"/>
      <c r="AK324" s="1029"/>
      <c r="AL324" s="1029"/>
      <c r="AM324" s="1029"/>
      <c r="AN324" s="1957"/>
      <c r="AO324" s="1957"/>
      <c r="AP324" s="1471"/>
      <c r="AQ324" s="1471"/>
      <c r="AR324" s="1471"/>
      <c r="AS324" s="1471"/>
      <c r="AT324" s="1471"/>
      <c r="AU324" s="1471"/>
      <c r="AV324" s="1471"/>
      <c r="AW324" s="1471"/>
      <c r="AX324" s="1471"/>
      <c r="AY324" s="1471"/>
      <c r="AZ324" s="1471"/>
      <c r="BA324" s="1471"/>
      <c r="BB324" s="1471"/>
      <c r="BC324" s="34"/>
      <c r="BD324" s="34"/>
      <c r="BE324" s="34"/>
      <c r="BF324" s="34"/>
      <c r="BG324" s="34"/>
      <c r="BH324" s="34"/>
      <c r="BI324" s="34"/>
      <c r="BJ324" s="34"/>
      <c r="BK324" s="34"/>
      <c r="BL324" s="34"/>
      <c r="BM324" s="34"/>
      <c r="BN324" s="34"/>
      <c r="BO324" s="34"/>
      <c r="BP324" s="34"/>
      <c r="BQ324" s="34"/>
      <c r="BR324" s="34"/>
    </row>
    <row r="325" ht="12.75" customHeight="1">
      <c r="A325" s="1769" t="str">
        <f>VLOOKUP("7.jp*g",Fotos!$A$2:$E444,5,FALSE)</f>
        <v/>
      </c>
      <c r="N325" s="1029"/>
      <c r="O325" s="1769" t="str">
        <f>VLOOKUP("8.jp*g",Fotos!$A$2:$E444,5,FALSE)</f>
        <v/>
      </c>
      <c r="AB325" s="1029"/>
      <c r="AC325" s="1769" t="str">
        <f>VLOOKUP("9.jp*g",Fotos!$A$2:$E444,5,FALSE)</f>
        <v/>
      </c>
      <c r="AN325" s="1957"/>
      <c r="AO325" s="1957"/>
      <c r="AP325" s="1471"/>
      <c r="AQ325" s="1471"/>
      <c r="AR325" s="1471"/>
      <c r="AS325" s="1471"/>
      <c r="AT325" s="1471"/>
      <c r="AU325" s="1471"/>
      <c r="AV325" s="1471"/>
      <c r="AW325" s="1471"/>
      <c r="AX325" s="1471"/>
      <c r="AY325" s="1471"/>
      <c r="AZ325" s="1471"/>
      <c r="BA325" s="1471"/>
      <c r="BB325" s="1471"/>
      <c r="BC325" s="34"/>
      <c r="BD325" s="34"/>
      <c r="BE325" s="34"/>
      <c r="BF325" s="34"/>
      <c r="BG325" s="34"/>
      <c r="BH325" s="34"/>
      <c r="BI325" s="34"/>
      <c r="BJ325" s="34"/>
      <c r="BK325" s="34"/>
      <c r="BL325" s="34"/>
      <c r="BM325" s="34"/>
      <c r="BN325" s="34"/>
      <c r="BO325" s="34"/>
      <c r="BP325" s="34"/>
      <c r="BQ325" s="34"/>
      <c r="BR325" s="34"/>
    </row>
    <row r="326" ht="12.75" customHeight="1">
      <c r="N326" s="1029"/>
      <c r="AB326" s="1029"/>
      <c r="AN326" s="1957"/>
      <c r="AO326" s="1957"/>
      <c r="AP326" s="1471"/>
      <c r="AQ326" s="1471"/>
      <c r="AR326" s="1471"/>
      <c r="AS326" s="1471"/>
      <c r="AT326" s="1471"/>
      <c r="AU326" s="1471"/>
      <c r="AV326" s="1471"/>
      <c r="AW326" s="1471"/>
      <c r="AX326" s="1471"/>
      <c r="AY326" s="1471"/>
      <c r="AZ326" s="1471"/>
      <c r="BA326" s="1471"/>
      <c r="BB326" s="1471"/>
      <c r="BC326" s="34"/>
      <c r="BD326" s="34"/>
      <c r="BE326" s="34"/>
      <c r="BF326" s="34"/>
      <c r="BG326" s="34"/>
      <c r="BH326" s="34"/>
      <c r="BI326" s="34"/>
      <c r="BJ326" s="34"/>
      <c r="BK326" s="34"/>
      <c r="BL326" s="34"/>
      <c r="BM326" s="34"/>
      <c r="BN326" s="34"/>
      <c r="BO326" s="34"/>
      <c r="BP326" s="34"/>
      <c r="BQ326" s="34"/>
      <c r="BR326" s="34"/>
    </row>
    <row r="327" ht="12.75" customHeight="1">
      <c r="N327" s="1029"/>
      <c r="AB327" s="1029"/>
      <c r="AN327" s="1957"/>
      <c r="AO327" s="1957"/>
      <c r="AP327" s="1471"/>
      <c r="AQ327" s="1471"/>
      <c r="AR327" s="1471"/>
      <c r="AS327" s="1471"/>
      <c r="AT327" s="1471"/>
      <c r="AU327" s="1471"/>
      <c r="AV327" s="1471"/>
      <c r="AW327" s="1471"/>
      <c r="AX327" s="1471"/>
      <c r="AY327" s="1471"/>
      <c r="AZ327" s="1471"/>
      <c r="BA327" s="1471"/>
      <c r="BB327" s="1471"/>
      <c r="BC327" s="34"/>
      <c r="BD327" s="34"/>
      <c r="BE327" s="34"/>
      <c r="BF327" s="34"/>
      <c r="BG327" s="34"/>
      <c r="BH327" s="34"/>
      <c r="BI327" s="34"/>
      <c r="BJ327" s="34"/>
      <c r="BK327" s="34"/>
      <c r="BL327" s="34"/>
      <c r="BM327" s="34"/>
      <c r="BN327" s="34"/>
      <c r="BO327" s="34"/>
      <c r="BP327" s="34"/>
      <c r="BQ327" s="34"/>
      <c r="BR327" s="34"/>
    </row>
    <row r="328" ht="12.75" customHeight="1">
      <c r="N328" s="1029"/>
      <c r="AB328" s="1029"/>
      <c r="AN328" s="1957"/>
      <c r="AO328" s="1957"/>
      <c r="AP328" s="1471"/>
      <c r="AQ328" s="1471"/>
      <c r="AR328" s="1471"/>
      <c r="AS328" s="1471"/>
      <c r="AT328" s="1471"/>
      <c r="AU328" s="1471"/>
      <c r="AV328" s="1471"/>
      <c r="AW328" s="1471"/>
      <c r="AX328" s="1471"/>
      <c r="AY328" s="1471"/>
      <c r="AZ328" s="1471"/>
      <c r="BA328" s="1471"/>
      <c r="BB328" s="1471"/>
      <c r="BC328" s="34"/>
      <c r="BD328" s="34"/>
      <c r="BE328" s="34"/>
      <c r="BF328" s="34"/>
      <c r="BG328" s="34"/>
      <c r="BH328" s="34"/>
      <c r="BI328" s="34"/>
      <c r="BJ328" s="34"/>
      <c r="BK328" s="34"/>
      <c r="BL328" s="34"/>
      <c r="BM328" s="34"/>
      <c r="BN328" s="34"/>
      <c r="BO328" s="34"/>
      <c r="BP328" s="34"/>
      <c r="BQ328" s="34"/>
      <c r="BR328" s="34"/>
    </row>
    <row r="329" ht="12.75" customHeight="1">
      <c r="N329" s="1029"/>
      <c r="AB329" s="1029"/>
      <c r="AN329" s="1957"/>
      <c r="AO329" s="1957"/>
      <c r="AP329" s="1471"/>
      <c r="AQ329" s="1471"/>
      <c r="AR329" s="1471"/>
      <c r="AS329" s="1471"/>
      <c r="AT329" s="1471"/>
      <c r="AU329" s="1471"/>
      <c r="AV329" s="1471"/>
      <c r="AW329" s="1471"/>
      <c r="AX329" s="1471"/>
      <c r="AY329" s="1471"/>
      <c r="AZ329" s="1471"/>
      <c r="BA329" s="1471"/>
      <c r="BB329" s="1471"/>
      <c r="BC329" s="34"/>
      <c r="BD329" s="34"/>
      <c r="BE329" s="34"/>
      <c r="BF329" s="34"/>
      <c r="BG329" s="34"/>
      <c r="BH329" s="34"/>
      <c r="BI329" s="34"/>
      <c r="BJ329" s="34"/>
      <c r="BK329" s="34"/>
      <c r="BL329" s="34"/>
      <c r="BM329" s="34"/>
      <c r="BN329" s="34"/>
      <c r="BO329" s="34"/>
      <c r="BP329" s="34"/>
      <c r="BQ329" s="34"/>
      <c r="BR329" s="34"/>
    </row>
    <row r="330" ht="12.75" customHeight="1">
      <c r="N330" s="1029"/>
      <c r="AB330" s="1029"/>
      <c r="AN330" s="1957"/>
      <c r="AO330" s="1957"/>
      <c r="AP330" s="1471"/>
      <c r="AQ330" s="1471"/>
      <c r="AR330" s="1471"/>
      <c r="AS330" s="1471"/>
      <c r="AT330" s="1471"/>
      <c r="AU330" s="1471"/>
      <c r="AV330" s="1471"/>
      <c r="AW330" s="1471"/>
      <c r="AX330" s="1471"/>
      <c r="AY330" s="1471"/>
      <c r="AZ330" s="1471"/>
      <c r="BA330" s="1471"/>
      <c r="BB330" s="1471"/>
      <c r="BC330" s="34"/>
      <c r="BD330" s="34"/>
      <c r="BE330" s="34"/>
      <c r="BF330" s="34"/>
      <c r="BG330" s="34"/>
      <c r="BH330" s="34"/>
      <c r="BI330" s="34"/>
      <c r="BJ330" s="34"/>
      <c r="BK330" s="34"/>
      <c r="BL330" s="34"/>
      <c r="BM330" s="34"/>
      <c r="BN330" s="34"/>
      <c r="BO330" s="34"/>
      <c r="BP330" s="34"/>
      <c r="BQ330" s="34"/>
      <c r="BR330" s="34"/>
    </row>
    <row r="331" ht="12.75" customHeight="1">
      <c r="N331" s="1029"/>
      <c r="AB331" s="1029"/>
      <c r="AN331" s="1957"/>
      <c r="AO331" s="1957"/>
      <c r="AP331" s="1471"/>
      <c r="AQ331" s="1471"/>
      <c r="AR331" s="1471"/>
      <c r="AS331" s="1471"/>
      <c r="AT331" s="1471"/>
      <c r="AU331" s="1471"/>
      <c r="AV331" s="1471"/>
      <c r="AW331" s="1471"/>
      <c r="AX331" s="1471"/>
      <c r="AY331" s="1471"/>
      <c r="AZ331" s="1471"/>
      <c r="BA331" s="1471"/>
      <c r="BB331" s="1471"/>
      <c r="BC331" s="34"/>
      <c r="BD331" s="34"/>
      <c r="BE331" s="34"/>
      <c r="BF331" s="34"/>
      <c r="BG331" s="34"/>
      <c r="BH331" s="34"/>
      <c r="BI331" s="34"/>
      <c r="BJ331" s="34"/>
      <c r="BK331" s="34"/>
      <c r="BL331" s="34"/>
      <c r="BM331" s="34"/>
      <c r="BN331" s="34"/>
      <c r="BO331" s="34"/>
      <c r="BP331" s="34"/>
      <c r="BQ331" s="34"/>
      <c r="BR331" s="34"/>
    </row>
    <row r="332" ht="12.75" customHeight="1">
      <c r="N332" s="1029"/>
      <c r="AB332" s="1029"/>
      <c r="AN332" s="1957"/>
      <c r="AO332" s="1957"/>
      <c r="AP332" s="1471"/>
      <c r="AQ332" s="1471"/>
      <c r="AR332" s="1471"/>
      <c r="AS332" s="1471"/>
      <c r="AT332" s="1471"/>
      <c r="AU332" s="1471"/>
      <c r="AV332" s="1471"/>
      <c r="AW332" s="1471"/>
      <c r="AX332" s="1471"/>
      <c r="AY332" s="1471"/>
      <c r="AZ332" s="1471"/>
      <c r="BA332" s="1471"/>
      <c r="BB332" s="1471"/>
      <c r="BC332" s="34"/>
      <c r="BD332" s="34"/>
      <c r="BE332" s="34"/>
      <c r="BF332" s="34"/>
      <c r="BG332" s="34"/>
      <c r="BH332" s="34"/>
      <c r="BI332" s="34"/>
      <c r="BJ332" s="34"/>
      <c r="BK332" s="34"/>
      <c r="BL332" s="34"/>
      <c r="BM332" s="34"/>
      <c r="BN332" s="34"/>
      <c r="BO332" s="34"/>
      <c r="BP332" s="34"/>
      <c r="BQ332" s="34"/>
      <c r="BR332" s="34"/>
    </row>
    <row r="333" ht="12.75" customHeight="1">
      <c r="N333" s="1029"/>
      <c r="AB333" s="1029"/>
      <c r="AN333" s="1957"/>
      <c r="AO333" s="1957"/>
      <c r="AP333" s="1471"/>
      <c r="AQ333" s="1471"/>
      <c r="AR333" s="1471"/>
      <c r="AS333" s="1471"/>
      <c r="AT333" s="1471"/>
      <c r="AU333" s="1471"/>
      <c r="AV333" s="1471"/>
      <c r="AW333" s="1471"/>
      <c r="AX333" s="1471"/>
      <c r="AY333" s="1471"/>
      <c r="AZ333" s="1471"/>
      <c r="BA333" s="1471"/>
      <c r="BB333" s="1471"/>
      <c r="BC333" s="34"/>
      <c r="BD333" s="34"/>
      <c r="BE333" s="34"/>
      <c r="BF333" s="34"/>
      <c r="BG333" s="34"/>
      <c r="BH333" s="34"/>
      <c r="BI333" s="34"/>
      <c r="BJ333" s="34"/>
      <c r="BK333" s="34"/>
      <c r="BL333" s="34"/>
      <c r="BM333" s="34"/>
      <c r="BN333" s="34"/>
      <c r="BO333" s="34"/>
      <c r="BP333" s="34"/>
      <c r="BQ333" s="34"/>
      <c r="BR333" s="34"/>
    </row>
    <row r="334" ht="12.75" customHeight="1">
      <c r="N334" s="1029"/>
      <c r="AB334" s="1029"/>
      <c r="AN334" s="1957"/>
      <c r="AO334" s="1957"/>
      <c r="AP334" s="1471"/>
      <c r="AQ334" s="1471"/>
      <c r="AR334" s="1471"/>
      <c r="AS334" s="1471"/>
      <c r="AT334" s="1471"/>
      <c r="AU334" s="1471"/>
      <c r="AV334" s="1471"/>
      <c r="AW334" s="1471"/>
      <c r="AX334" s="1471"/>
      <c r="AY334" s="1471"/>
      <c r="AZ334" s="1471"/>
      <c r="BA334" s="1471"/>
      <c r="BB334" s="1471"/>
      <c r="BC334" s="34"/>
      <c r="BD334" s="34"/>
      <c r="BE334" s="34"/>
      <c r="BF334" s="34"/>
      <c r="BG334" s="34"/>
      <c r="BH334" s="34"/>
      <c r="BI334" s="34"/>
      <c r="BJ334" s="34"/>
      <c r="BK334" s="34"/>
      <c r="BL334" s="34"/>
      <c r="BM334" s="34"/>
      <c r="BN334" s="34"/>
      <c r="BO334" s="34"/>
      <c r="BP334" s="34"/>
      <c r="BQ334" s="34"/>
      <c r="BR334" s="34"/>
    </row>
    <row r="335" ht="12.75" customHeight="1">
      <c r="N335" s="1029"/>
      <c r="AB335" s="1029"/>
      <c r="AN335" s="1957"/>
      <c r="AO335" s="1957"/>
      <c r="AP335" s="1471"/>
      <c r="AQ335" s="1471"/>
      <c r="AR335" s="1471"/>
      <c r="AS335" s="1471"/>
      <c r="AT335" s="1471"/>
      <c r="AU335" s="1471"/>
      <c r="AV335" s="1471"/>
      <c r="AW335" s="1471"/>
      <c r="AX335" s="1471"/>
      <c r="AY335" s="1471"/>
      <c r="AZ335" s="1471"/>
      <c r="BA335" s="1471"/>
      <c r="BB335" s="1471"/>
      <c r="BC335" s="34"/>
      <c r="BD335" s="34"/>
      <c r="BE335" s="34"/>
      <c r="BF335" s="34"/>
      <c r="BG335" s="34"/>
      <c r="BH335" s="34"/>
      <c r="BI335" s="34"/>
      <c r="BJ335" s="34"/>
      <c r="BK335" s="34"/>
      <c r="BL335" s="34"/>
      <c r="BM335" s="34"/>
      <c r="BN335" s="34"/>
      <c r="BO335" s="34"/>
      <c r="BP335" s="34"/>
      <c r="BQ335" s="34"/>
      <c r="BR335" s="34"/>
    </row>
    <row r="336" ht="12.75" customHeight="1">
      <c r="N336" s="1029"/>
      <c r="AB336" s="1029"/>
      <c r="AN336" s="1957"/>
      <c r="AO336" s="1957"/>
      <c r="AP336" s="1471"/>
      <c r="AQ336" s="1471"/>
      <c r="AR336" s="1471"/>
      <c r="AS336" s="1471"/>
      <c r="AT336" s="1471"/>
      <c r="AU336" s="1471"/>
      <c r="AV336" s="1471"/>
      <c r="AW336" s="1471"/>
      <c r="AX336" s="1471"/>
      <c r="AY336" s="1471"/>
      <c r="AZ336" s="1471"/>
      <c r="BA336" s="1471"/>
      <c r="BB336" s="1471"/>
      <c r="BC336" s="34"/>
      <c r="BD336" s="34"/>
      <c r="BE336" s="34"/>
      <c r="BF336" s="34"/>
      <c r="BG336" s="34"/>
      <c r="BH336" s="34"/>
      <c r="BI336" s="34"/>
      <c r="BJ336" s="34"/>
      <c r="BK336" s="34"/>
      <c r="BL336" s="34"/>
      <c r="BM336" s="34"/>
      <c r="BN336" s="34"/>
      <c r="BO336" s="34"/>
      <c r="BP336" s="34"/>
      <c r="BQ336" s="34"/>
      <c r="BR336" s="34"/>
    </row>
    <row r="337" ht="12.75" customHeight="1">
      <c r="N337" s="1029"/>
      <c r="AB337" s="1029"/>
      <c r="AN337" s="1957"/>
      <c r="AO337" s="1957"/>
      <c r="AP337" s="1471"/>
      <c r="AQ337" s="1471"/>
      <c r="AR337" s="1471"/>
      <c r="AS337" s="1471"/>
      <c r="AT337" s="1471"/>
      <c r="AU337" s="1471"/>
      <c r="AV337" s="1471"/>
      <c r="AW337" s="1471"/>
      <c r="AX337" s="1471"/>
      <c r="AY337" s="1471"/>
      <c r="AZ337" s="1471"/>
      <c r="BA337" s="1471"/>
      <c r="BB337" s="1471"/>
      <c r="BC337" s="34"/>
      <c r="BD337" s="34"/>
      <c r="BE337" s="34"/>
      <c r="BF337" s="34"/>
      <c r="BG337" s="34"/>
      <c r="BH337" s="34"/>
      <c r="BI337" s="34"/>
      <c r="BJ337" s="34"/>
      <c r="BK337" s="34"/>
      <c r="BL337" s="34"/>
      <c r="BM337" s="34"/>
      <c r="BN337" s="34"/>
      <c r="BO337" s="34"/>
      <c r="BP337" s="34"/>
      <c r="BQ337" s="34"/>
      <c r="BR337" s="34"/>
    </row>
    <row r="338" ht="12.75" customHeight="1">
      <c r="A338" s="1029"/>
      <c r="B338" s="1029"/>
      <c r="C338" s="1029"/>
      <c r="D338" s="1029"/>
      <c r="E338" s="1029"/>
      <c r="F338" s="1029"/>
      <c r="G338" s="1029"/>
      <c r="H338" s="1029"/>
      <c r="I338" s="1029"/>
      <c r="J338" s="1029"/>
      <c r="K338" s="1029"/>
      <c r="L338" s="1029"/>
      <c r="M338" s="1029"/>
      <c r="N338" s="1029"/>
      <c r="O338" s="1029"/>
      <c r="P338" s="1029"/>
      <c r="Q338" s="1029"/>
      <c r="R338" s="1029"/>
      <c r="S338" s="1029"/>
      <c r="T338" s="1029"/>
      <c r="U338" s="1029"/>
      <c r="V338" s="1029"/>
      <c r="W338" s="1029"/>
      <c r="X338" s="1029"/>
      <c r="Y338" s="1029"/>
      <c r="Z338" s="1029"/>
      <c r="AA338" s="1029"/>
      <c r="AB338" s="1029"/>
      <c r="AC338" s="1029"/>
      <c r="AD338" s="1029"/>
      <c r="AE338" s="1029"/>
      <c r="AF338" s="1029"/>
      <c r="AG338" s="1029"/>
      <c r="AH338" s="1029"/>
      <c r="AI338" s="1029"/>
      <c r="AJ338" s="1029"/>
      <c r="AK338" s="1029"/>
      <c r="AL338" s="1029"/>
      <c r="AM338" s="1029"/>
      <c r="AN338" s="1957"/>
      <c r="AO338" s="1957"/>
      <c r="AP338" s="1471"/>
      <c r="AQ338" s="1471"/>
      <c r="AR338" s="1471"/>
      <c r="AS338" s="1471"/>
      <c r="AT338" s="1471"/>
      <c r="AU338" s="1471"/>
      <c r="AV338" s="1471"/>
      <c r="AW338" s="1471"/>
      <c r="AX338" s="1471"/>
      <c r="AY338" s="1471"/>
      <c r="AZ338" s="1471"/>
      <c r="BA338" s="1471"/>
      <c r="BB338" s="1471"/>
      <c r="BC338" s="34"/>
      <c r="BD338" s="34"/>
      <c r="BE338" s="34"/>
      <c r="BF338" s="34"/>
      <c r="BG338" s="34"/>
      <c r="BH338" s="34"/>
      <c r="BI338" s="34"/>
      <c r="BJ338" s="34"/>
      <c r="BK338" s="34"/>
      <c r="BL338" s="34"/>
      <c r="BM338" s="34"/>
      <c r="BN338" s="34"/>
      <c r="BO338" s="34"/>
      <c r="BP338" s="34"/>
      <c r="BQ338" s="34"/>
      <c r="BR338" s="34"/>
    </row>
    <row r="339" ht="12.75" customHeight="1">
      <c r="A339" s="1769" t="str">
        <f>VLOOKUP("10.jp*g",Fotos!$A$2:$E444,5,FALSE)</f>
        <v/>
      </c>
      <c r="N339" s="1029"/>
      <c r="O339" s="1769" t="str">
        <f>VLOOKUP("11.jp*g",Fotos!$A$2:$E444,5,FALSE)</f>
        <v/>
      </c>
      <c r="AB339" s="1029"/>
      <c r="AC339" s="1769" t="str">
        <f>VLOOKUP("12.jp*g",Fotos!$A$2:$E444,5,FALSE)</f>
        <v/>
      </c>
      <c r="AN339" s="1957"/>
      <c r="AO339" s="1957"/>
      <c r="AP339" s="1471"/>
      <c r="AQ339" s="1471"/>
      <c r="AR339" s="1471"/>
      <c r="AS339" s="1471"/>
      <c r="AT339" s="1471"/>
      <c r="AU339" s="1471"/>
      <c r="AV339" s="1471"/>
      <c r="AW339" s="1471"/>
      <c r="AX339" s="1471"/>
      <c r="AY339" s="1471"/>
      <c r="AZ339" s="1471"/>
      <c r="BA339" s="1471"/>
      <c r="BB339" s="1471"/>
      <c r="BC339" s="34"/>
      <c r="BD339" s="34"/>
      <c r="BE339" s="34"/>
      <c r="BF339" s="34"/>
      <c r="BG339" s="34"/>
      <c r="BH339" s="34"/>
      <c r="BI339" s="34"/>
      <c r="BJ339" s="34"/>
      <c r="BK339" s="34"/>
      <c r="BL339" s="34"/>
      <c r="BM339" s="34"/>
      <c r="BN339" s="34"/>
      <c r="BO339" s="34"/>
      <c r="BP339" s="34"/>
      <c r="BQ339" s="34"/>
      <c r="BR339" s="34"/>
    </row>
    <row r="340" ht="12.75" customHeight="1">
      <c r="N340" s="1029"/>
      <c r="AB340" s="1029"/>
      <c r="AN340" s="1957"/>
      <c r="AO340" s="1957"/>
      <c r="AP340" s="1471"/>
      <c r="AQ340" s="1471"/>
      <c r="AR340" s="1471"/>
      <c r="AS340" s="1471"/>
      <c r="AT340" s="1471"/>
      <c r="AU340" s="1471"/>
      <c r="AV340" s="1471"/>
      <c r="AW340" s="1471"/>
      <c r="AX340" s="1471"/>
      <c r="AY340" s="1471"/>
      <c r="AZ340" s="1471"/>
      <c r="BA340" s="1471"/>
      <c r="BB340" s="1471"/>
      <c r="BC340" s="34"/>
      <c r="BD340" s="34"/>
      <c r="BE340" s="34"/>
      <c r="BF340" s="34"/>
      <c r="BG340" s="34"/>
      <c r="BH340" s="34"/>
      <c r="BI340" s="34"/>
      <c r="BJ340" s="34"/>
      <c r="BK340" s="34"/>
      <c r="BL340" s="34"/>
      <c r="BM340" s="34"/>
      <c r="BN340" s="34"/>
      <c r="BO340" s="34"/>
      <c r="BP340" s="34"/>
      <c r="BQ340" s="34"/>
      <c r="BR340" s="34"/>
    </row>
    <row r="341" ht="12.75" customHeight="1">
      <c r="N341" s="1029"/>
      <c r="AB341" s="1029"/>
      <c r="AN341" s="1957"/>
      <c r="AO341" s="1957"/>
      <c r="AP341" s="1471"/>
      <c r="AQ341" s="1471"/>
      <c r="AR341" s="1471"/>
      <c r="AS341" s="1471"/>
      <c r="AT341" s="1471"/>
      <c r="AU341" s="1471"/>
      <c r="AV341" s="1471"/>
      <c r="AW341" s="1471"/>
      <c r="AX341" s="1471"/>
      <c r="AY341" s="1471"/>
      <c r="AZ341" s="1471"/>
      <c r="BA341" s="1471"/>
      <c r="BB341" s="1471"/>
      <c r="BC341" s="34"/>
      <c r="BD341" s="34"/>
      <c r="BE341" s="34"/>
      <c r="BF341" s="34"/>
      <c r="BG341" s="34"/>
      <c r="BH341" s="34"/>
      <c r="BI341" s="34"/>
      <c r="BJ341" s="34"/>
      <c r="BK341" s="34"/>
      <c r="BL341" s="34"/>
      <c r="BM341" s="34"/>
      <c r="BN341" s="34"/>
      <c r="BO341" s="34"/>
      <c r="BP341" s="34"/>
      <c r="BQ341" s="34"/>
      <c r="BR341" s="34"/>
    </row>
    <row r="342" ht="12.75" customHeight="1">
      <c r="N342" s="1029"/>
      <c r="AB342" s="1029"/>
      <c r="AN342" s="1957"/>
      <c r="AO342" s="1957"/>
      <c r="AP342" s="1471"/>
      <c r="AQ342" s="1471"/>
      <c r="AR342" s="1471"/>
      <c r="AS342" s="1471"/>
      <c r="AT342" s="1471"/>
      <c r="AU342" s="1471"/>
      <c r="AV342" s="1471"/>
      <c r="AW342" s="1471"/>
      <c r="AX342" s="1471"/>
      <c r="AY342" s="1471"/>
      <c r="AZ342" s="1471"/>
      <c r="BA342" s="1471"/>
      <c r="BB342" s="1471"/>
      <c r="BC342" s="34"/>
      <c r="BD342" s="34"/>
      <c r="BE342" s="34"/>
      <c r="BF342" s="34"/>
      <c r="BG342" s="34"/>
      <c r="BH342" s="34"/>
      <c r="BI342" s="34"/>
      <c r="BJ342" s="34"/>
      <c r="BK342" s="34"/>
      <c r="BL342" s="34"/>
      <c r="BM342" s="34"/>
      <c r="BN342" s="34"/>
      <c r="BO342" s="34"/>
      <c r="BP342" s="34"/>
      <c r="BQ342" s="34"/>
      <c r="BR342" s="34"/>
    </row>
    <row r="343" ht="12.75" customHeight="1">
      <c r="N343" s="1029"/>
      <c r="AB343" s="1029"/>
      <c r="AN343" s="1957"/>
      <c r="AO343" s="1957"/>
      <c r="AP343" s="1471"/>
      <c r="AQ343" s="1471"/>
      <c r="AR343" s="1471"/>
      <c r="AS343" s="1471"/>
      <c r="AT343" s="1471"/>
      <c r="AU343" s="1471"/>
      <c r="AV343" s="1471"/>
      <c r="AW343" s="1471"/>
      <c r="AX343" s="1471"/>
      <c r="AY343" s="1471"/>
      <c r="AZ343" s="1471"/>
      <c r="BA343" s="1471"/>
      <c r="BB343" s="1471"/>
      <c r="BC343" s="34"/>
      <c r="BD343" s="34"/>
      <c r="BE343" s="34"/>
      <c r="BF343" s="34"/>
      <c r="BG343" s="34"/>
      <c r="BH343" s="34"/>
      <c r="BI343" s="34"/>
      <c r="BJ343" s="34"/>
      <c r="BK343" s="34"/>
      <c r="BL343" s="34"/>
      <c r="BM343" s="34"/>
      <c r="BN343" s="34"/>
      <c r="BO343" s="34"/>
      <c r="BP343" s="34"/>
      <c r="BQ343" s="34"/>
      <c r="BR343" s="34"/>
    </row>
    <row r="344" ht="12.75" customHeight="1">
      <c r="N344" s="1029"/>
      <c r="AB344" s="1029"/>
      <c r="AN344" s="1957"/>
      <c r="AO344" s="1957"/>
      <c r="AP344" s="1471"/>
      <c r="AQ344" s="1471"/>
      <c r="AR344" s="1471"/>
      <c r="AS344" s="1471"/>
      <c r="AT344" s="1471"/>
      <c r="AU344" s="1471"/>
      <c r="AV344" s="1471"/>
      <c r="AW344" s="1471"/>
      <c r="AX344" s="1471"/>
      <c r="AY344" s="1471"/>
      <c r="AZ344" s="1471"/>
      <c r="BA344" s="1471"/>
      <c r="BB344" s="1471"/>
      <c r="BC344" s="34"/>
      <c r="BD344" s="34"/>
      <c r="BE344" s="34"/>
      <c r="BF344" s="34"/>
      <c r="BG344" s="34"/>
      <c r="BH344" s="34"/>
      <c r="BI344" s="34"/>
      <c r="BJ344" s="34"/>
      <c r="BK344" s="34"/>
      <c r="BL344" s="34"/>
      <c r="BM344" s="34"/>
      <c r="BN344" s="34"/>
      <c r="BO344" s="34"/>
      <c r="BP344" s="34"/>
      <c r="BQ344" s="34"/>
      <c r="BR344" s="34"/>
    </row>
    <row r="345" ht="12.75" customHeight="1">
      <c r="N345" s="1029"/>
      <c r="AB345" s="1029"/>
      <c r="AN345" s="1957"/>
      <c r="AO345" s="1957"/>
      <c r="AP345" s="1471"/>
      <c r="AQ345" s="1471"/>
      <c r="AR345" s="1471"/>
      <c r="AS345" s="1471"/>
      <c r="AT345" s="1471"/>
      <c r="AU345" s="1471"/>
      <c r="AV345" s="1471"/>
      <c r="AW345" s="1471"/>
      <c r="AX345" s="1471"/>
      <c r="AY345" s="1471"/>
      <c r="AZ345" s="1471"/>
      <c r="BA345" s="1471"/>
      <c r="BB345" s="1471"/>
      <c r="BC345" s="34"/>
      <c r="BD345" s="34"/>
      <c r="BE345" s="34"/>
      <c r="BF345" s="34"/>
      <c r="BG345" s="34"/>
      <c r="BH345" s="34"/>
      <c r="BI345" s="34"/>
      <c r="BJ345" s="34"/>
      <c r="BK345" s="34"/>
      <c r="BL345" s="34"/>
      <c r="BM345" s="34"/>
      <c r="BN345" s="34"/>
      <c r="BO345" s="34"/>
      <c r="BP345" s="34"/>
      <c r="BQ345" s="34"/>
      <c r="BR345" s="34"/>
    </row>
    <row r="346" ht="12.75" customHeight="1">
      <c r="N346" s="1029"/>
      <c r="AB346" s="1029"/>
      <c r="AN346" s="1957"/>
      <c r="AO346" s="1957"/>
      <c r="AP346" s="1471"/>
      <c r="AQ346" s="1471"/>
      <c r="AR346" s="1471"/>
      <c r="AS346" s="1471"/>
      <c r="AT346" s="1471"/>
      <c r="AU346" s="1471"/>
      <c r="AV346" s="1471"/>
      <c r="AW346" s="1471"/>
      <c r="AX346" s="1471"/>
      <c r="AY346" s="1471"/>
      <c r="AZ346" s="1471"/>
      <c r="BA346" s="1471"/>
      <c r="BB346" s="1471"/>
      <c r="BC346" s="34"/>
      <c r="BD346" s="34"/>
      <c r="BE346" s="34"/>
      <c r="BF346" s="34"/>
      <c r="BG346" s="34"/>
      <c r="BH346" s="34"/>
      <c r="BI346" s="34"/>
      <c r="BJ346" s="34"/>
      <c r="BK346" s="34"/>
      <c r="BL346" s="34"/>
      <c r="BM346" s="34"/>
      <c r="BN346" s="34"/>
      <c r="BO346" s="34"/>
      <c r="BP346" s="34"/>
      <c r="BQ346" s="34"/>
      <c r="BR346" s="34"/>
    </row>
    <row r="347" ht="12.75" customHeight="1">
      <c r="N347" s="1029"/>
      <c r="AB347" s="1029"/>
      <c r="AN347" s="1957"/>
      <c r="AO347" s="1957"/>
      <c r="AP347" s="1471"/>
      <c r="AQ347" s="1471"/>
      <c r="AR347" s="1471"/>
      <c r="AS347" s="1471"/>
      <c r="AT347" s="1471"/>
      <c r="AU347" s="1471"/>
      <c r="AV347" s="1471"/>
      <c r="AW347" s="1471"/>
      <c r="AX347" s="1471"/>
      <c r="AY347" s="1471"/>
      <c r="AZ347" s="1471"/>
      <c r="BA347" s="1471"/>
      <c r="BB347" s="1471"/>
      <c r="BC347" s="34"/>
      <c r="BD347" s="34"/>
      <c r="BE347" s="34"/>
      <c r="BF347" s="34"/>
      <c r="BG347" s="34"/>
      <c r="BH347" s="34"/>
      <c r="BI347" s="34"/>
      <c r="BJ347" s="34"/>
      <c r="BK347" s="34"/>
      <c r="BL347" s="34"/>
      <c r="BM347" s="34"/>
      <c r="BN347" s="34"/>
      <c r="BO347" s="34"/>
      <c r="BP347" s="34"/>
      <c r="BQ347" s="34"/>
      <c r="BR347" s="34"/>
    </row>
    <row r="348" ht="12.75" customHeight="1">
      <c r="N348" s="1029"/>
      <c r="AB348" s="1029"/>
      <c r="AN348" s="1957"/>
      <c r="AO348" s="1957"/>
      <c r="AP348" s="1471"/>
      <c r="AQ348" s="1471"/>
      <c r="AR348" s="1471"/>
      <c r="AS348" s="1471"/>
      <c r="AT348" s="1471"/>
      <c r="AU348" s="1471"/>
      <c r="AV348" s="1471"/>
      <c r="AW348" s="1471"/>
      <c r="AX348" s="1471"/>
      <c r="AY348" s="1471"/>
      <c r="AZ348" s="1471"/>
      <c r="BA348" s="1471"/>
      <c r="BB348" s="1471"/>
      <c r="BC348" s="34"/>
      <c r="BD348" s="34"/>
      <c r="BE348" s="34"/>
      <c r="BF348" s="34"/>
      <c r="BG348" s="34"/>
      <c r="BH348" s="34"/>
      <c r="BI348" s="34"/>
      <c r="BJ348" s="34"/>
      <c r="BK348" s="34"/>
      <c r="BL348" s="34"/>
      <c r="BM348" s="34"/>
      <c r="BN348" s="34"/>
      <c r="BO348" s="34"/>
      <c r="BP348" s="34"/>
      <c r="BQ348" s="34"/>
      <c r="BR348" s="34"/>
    </row>
    <row r="349" ht="12.75" customHeight="1">
      <c r="N349" s="1029"/>
      <c r="AB349" s="1029"/>
      <c r="AN349" s="1957"/>
      <c r="AO349" s="1957"/>
      <c r="AP349" s="1471"/>
      <c r="AQ349" s="1471"/>
      <c r="AR349" s="1471"/>
      <c r="AS349" s="1471"/>
      <c r="AT349" s="1471"/>
      <c r="AU349" s="1471"/>
      <c r="AV349" s="1471"/>
      <c r="AW349" s="1471"/>
      <c r="AX349" s="1471"/>
      <c r="AY349" s="1471"/>
      <c r="AZ349" s="1471"/>
      <c r="BA349" s="1471"/>
      <c r="BB349" s="1471"/>
      <c r="BC349" s="34"/>
      <c r="BD349" s="34"/>
      <c r="BE349" s="34"/>
      <c r="BF349" s="34"/>
      <c r="BG349" s="34"/>
      <c r="BH349" s="34"/>
      <c r="BI349" s="34"/>
      <c r="BJ349" s="34"/>
      <c r="BK349" s="34"/>
      <c r="BL349" s="34"/>
      <c r="BM349" s="34"/>
      <c r="BN349" s="34"/>
      <c r="BO349" s="34"/>
      <c r="BP349" s="34"/>
      <c r="BQ349" s="34"/>
      <c r="BR349" s="34"/>
    </row>
    <row r="350" ht="12.75" customHeight="1">
      <c r="N350" s="1029"/>
      <c r="AB350" s="1029"/>
      <c r="AN350" s="1957"/>
      <c r="AO350" s="1957"/>
      <c r="AP350" s="1471"/>
      <c r="AQ350" s="1471"/>
      <c r="AR350" s="1471"/>
      <c r="AS350" s="1471"/>
      <c r="AT350" s="1471"/>
      <c r="AU350" s="1471"/>
      <c r="AV350" s="1471"/>
      <c r="AW350" s="1471"/>
      <c r="AX350" s="1471"/>
      <c r="AY350" s="1471"/>
      <c r="AZ350" s="1471"/>
      <c r="BA350" s="1471"/>
      <c r="BB350" s="1471"/>
      <c r="BC350" s="34"/>
      <c r="BD350" s="34"/>
      <c r="BE350" s="34"/>
      <c r="BF350" s="34"/>
      <c r="BG350" s="34"/>
      <c r="BH350" s="34"/>
      <c r="BI350" s="34"/>
      <c r="BJ350" s="34"/>
      <c r="BK350" s="34"/>
      <c r="BL350" s="34"/>
      <c r="BM350" s="34"/>
      <c r="BN350" s="34"/>
      <c r="BO350" s="34"/>
      <c r="BP350" s="34"/>
      <c r="BQ350" s="34"/>
      <c r="BR350" s="34"/>
    </row>
    <row r="351" ht="12.75" customHeight="1">
      <c r="N351" s="1029"/>
      <c r="AB351" s="1029"/>
      <c r="AN351" s="1957"/>
      <c r="AO351" s="1957"/>
      <c r="AP351" s="1471"/>
      <c r="AQ351" s="1471"/>
      <c r="AR351" s="1471"/>
      <c r="AS351" s="1471"/>
      <c r="AT351" s="1471"/>
      <c r="AU351" s="1471"/>
      <c r="AV351" s="1471"/>
      <c r="AW351" s="1471"/>
      <c r="AX351" s="1471"/>
      <c r="AY351" s="1471"/>
      <c r="AZ351" s="1471"/>
      <c r="BA351" s="1471"/>
      <c r="BB351" s="1471"/>
      <c r="BC351" s="34"/>
      <c r="BD351" s="34"/>
      <c r="BE351" s="34"/>
      <c r="BF351" s="34"/>
      <c r="BG351" s="34"/>
      <c r="BH351" s="34"/>
      <c r="BI351" s="34"/>
      <c r="BJ351" s="34"/>
      <c r="BK351" s="34"/>
      <c r="BL351" s="34"/>
      <c r="BM351" s="34"/>
      <c r="BN351" s="34"/>
      <c r="BO351" s="34"/>
      <c r="BP351" s="34"/>
      <c r="BQ351" s="34"/>
      <c r="BR351" s="34"/>
    </row>
    <row r="352" ht="12.75" customHeight="1">
      <c r="A352" s="1029"/>
      <c r="B352" s="1029"/>
      <c r="C352" s="1029"/>
      <c r="D352" s="1029"/>
      <c r="E352" s="1029"/>
      <c r="F352" s="1029"/>
      <c r="G352" s="1029"/>
      <c r="H352" s="1029"/>
      <c r="I352" s="1029"/>
      <c r="J352" s="1029"/>
      <c r="K352" s="1029"/>
      <c r="L352" s="1029"/>
      <c r="M352" s="1029"/>
      <c r="N352" s="1029"/>
      <c r="O352" s="1029"/>
      <c r="P352" s="1029"/>
      <c r="Q352" s="1029"/>
      <c r="R352" s="1029"/>
      <c r="S352" s="1029"/>
      <c r="T352" s="1029"/>
      <c r="U352" s="1029"/>
      <c r="V352" s="1029"/>
      <c r="W352" s="1029"/>
      <c r="X352" s="1029"/>
      <c r="Y352" s="1029"/>
      <c r="Z352" s="1029"/>
      <c r="AA352" s="1029"/>
      <c r="AB352" s="1029"/>
      <c r="AC352" s="1029"/>
      <c r="AD352" s="1029"/>
      <c r="AE352" s="1029"/>
      <c r="AF352" s="1029"/>
      <c r="AG352" s="1029"/>
      <c r="AH352" s="1029"/>
      <c r="AI352" s="1029"/>
      <c r="AJ352" s="1029"/>
      <c r="AK352" s="1029"/>
      <c r="AL352" s="1029"/>
      <c r="AM352" s="1029"/>
      <c r="AN352" s="1957"/>
      <c r="AO352" s="1957"/>
      <c r="AP352" s="1471"/>
      <c r="AQ352" s="1471"/>
      <c r="AR352" s="1471"/>
      <c r="AS352" s="1471"/>
      <c r="AT352" s="1471"/>
      <c r="AU352" s="1471"/>
      <c r="AV352" s="1471"/>
      <c r="AW352" s="1471"/>
      <c r="AX352" s="1471"/>
      <c r="AY352" s="1471"/>
      <c r="AZ352" s="1471"/>
      <c r="BA352" s="1471"/>
      <c r="BB352" s="1471"/>
      <c r="BC352" s="34"/>
      <c r="BD352" s="34"/>
      <c r="BE352" s="34"/>
      <c r="BF352" s="34"/>
      <c r="BG352" s="34"/>
      <c r="BH352" s="34"/>
      <c r="BI352" s="34"/>
      <c r="BJ352" s="34"/>
      <c r="BK352" s="34"/>
      <c r="BL352" s="34"/>
      <c r="BM352" s="34"/>
      <c r="BN352" s="34"/>
      <c r="BO352" s="34"/>
      <c r="BP352" s="34"/>
      <c r="BQ352" s="34"/>
      <c r="BR352" s="34"/>
    </row>
    <row r="353" ht="12.75" customHeight="1">
      <c r="A353" s="1769" t="str">
        <f>VLOOKUP("13.jp*g",Fotos!$A$2:$E444,5,FALSE)</f>
        <v/>
      </c>
      <c r="N353" s="1029"/>
      <c r="O353" s="1769" t="str">
        <f>VLOOKUP("14.jp*g",Fotos!$A$2:$E444,5,FALSE)</f>
        <v/>
      </c>
      <c r="AB353" s="1029"/>
      <c r="AC353" s="1769" t="str">
        <f>VLOOKUP("15.jp*g",Fotos!$A$2:$E444,5,FALSE)</f>
        <v/>
      </c>
      <c r="AN353" s="1957"/>
      <c r="AO353" s="1957"/>
      <c r="AP353" s="1471"/>
      <c r="AQ353" s="1471"/>
      <c r="AR353" s="1471"/>
      <c r="AS353" s="1471"/>
      <c r="AT353" s="1471"/>
      <c r="AU353" s="1471"/>
      <c r="AV353" s="1471"/>
      <c r="AW353" s="1471"/>
      <c r="AX353" s="1471"/>
      <c r="AY353" s="1471"/>
      <c r="AZ353" s="1471"/>
      <c r="BA353" s="1471"/>
      <c r="BB353" s="1471"/>
      <c r="BC353" s="34"/>
      <c r="BD353" s="34"/>
      <c r="BE353" s="34"/>
      <c r="BF353" s="34"/>
      <c r="BG353" s="34"/>
      <c r="BH353" s="34"/>
      <c r="BI353" s="34"/>
      <c r="BJ353" s="34"/>
      <c r="BK353" s="34"/>
      <c r="BL353" s="34"/>
      <c r="BM353" s="34"/>
      <c r="BN353" s="34"/>
      <c r="BO353" s="34"/>
      <c r="BP353" s="34"/>
      <c r="BQ353" s="34"/>
      <c r="BR353" s="34"/>
    </row>
    <row r="354" ht="12.75" customHeight="1">
      <c r="N354" s="1029"/>
      <c r="AB354" s="1029"/>
      <c r="AN354" s="1957"/>
      <c r="AO354" s="1957"/>
      <c r="AP354" s="1471"/>
      <c r="AQ354" s="1471"/>
      <c r="AR354" s="1471"/>
      <c r="AS354" s="1471"/>
      <c r="AT354" s="1471"/>
      <c r="AU354" s="1471"/>
      <c r="AV354" s="1471"/>
      <c r="AW354" s="1471"/>
      <c r="AX354" s="1471"/>
      <c r="AY354" s="1471"/>
      <c r="AZ354" s="1471"/>
      <c r="BA354" s="1471"/>
      <c r="BB354" s="1471"/>
      <c r="BC354" s="34"/>
      <c r="BD354" s="34"/>
      <c r="BE354" s="34"/>
      <c r="BF354" s="34"/>
      <c r="BG354" s="34"/>
      <c r="BH354" s="34"/>
      <c r="BI354" s="34"/>
      <c r="BJ354" s="34"/>
      <c r="BK354" s="34"/>
      <c r="BL354" s="34"/>
      <c r="BM354" s="34"/>
      <c r="BN354" s="34"/>
      <c r="BO354" s="34"/>
      <c r="BP354" s="34"/>
      <c r="BQ354" s="34"/>
      <c r="BR354" s="34"/>
    </row>
    <row r="355" ht="12.75" customHeight="1">
      <c r="N355" s="1029"/>
      <c r="AB355" s="1029"/>
      <c r="AN355" s="1957"/>
      <c r="AO355" s="1957"/>
      <c r="AP355" s="1471"/>
      <c r="AQ355" s="1471"/>
      <c r="AR355" s="1471"/>
      <c r="AS355" s="1471"/>
      <c r="AT355" s="1471"/>
      <c r="AU355" s="1471"/>
      <c r="AV355" s="1471"/>
      <c r="AW355" s="1471"/>
      <c r="AX355" s="1471"/>
      <c r="AY355" s="1471"/>
      <c r="AZ355" s="1471"/>
      <c r="BA355" s="1471"/>
      <c r="BB355" s="1471"/>
      <c r="BC355" s="34"/>
      <c r="BD355" s="34"/>
      <c r="BE355" s="34"/>
      <c r="BF355" s="34"/>
      <c r="BG355" s="34"/>
      <c r="BH355" s="34"/>
      <c r="BI355" s="34"/>
      <c r="BJ355" s="34"/>
      <c r="BK355" s="34"/>
      <c r="BL355" s="34"/>
      <c r="BM355" s="34"/>
      <c r="BN355" s="34"/>
      <c r="BO355" s="34"/>
      <c r="BP355" s="34"/>
      <c r="BQ355" s="34"/>
      <c r="BR355" s="34"/>
    </row>
    <row r="356" ht="12.75" customHeight="1">
      <c r="N356" s="1029"/>
      <c r="AB356" s="1029"/>
      <c r="AN356" s="1957"/>
      <c r="AO356" s="1957"/>
      <c r="AP356" s="1471"/>
      <c r="AQ356" s="1471"/>
      <c r="AR356" s="1471"/>
      <c r="AS356" s="1471"/>
      <c r="AT356" s="1471"/>
      <c r="AU356" s="1471"/>
      <c r="AV356" s="1471"/>
      <c r="AW356" s="1471"/>
      <c r="AX356" s="1471"/>
      <c r="AY356" s="1471"/>
      <c r="AZ356" s="1471"/>
      <c r="BA356" s="1471"/>
      <c r="BB356" s="1471"/>
      <c r="BC356" s="34"/>
      <c r="BD356" s="34"/>
      <c r="BE356" s="34"/>
      <c r="BF356" s="34"/>
      <c r="BG356" s="34"/>
      <c r="BH356" s="34"/>
      <c r="BI356" s="34"/>
      <c r="BJ356" s="34"/>
      <c r="BK356" s="34"/>
      <c r="BL356" s="34"/>
      <c r="BM356" s="34"/>
      <c r="BN356" s="34"/>
      <c r="BO356" s="34"/>
      <c r="BP356" s="34"/>
      <c r="BQ356" s="34"/>
      <c r="BR356" s="34"/>
    </row>
    <row r="357" ht="12.75" customHeight="1">
      <c r="N357" s="1029"/>
      <c r="AB357" s="1029"/>
      <c r="AN357" s="1957"/>
      <c r="AO357" s="1957"/>
      <c r="AP357" s="1471"/>
      <c r="AQ357" s="1471"/>
      <c r="AR357" s="1471"/>
      <c r="AS357" s="1471"/>
      <c r="AT357" s="1471"/>
      <c r="AU357" s="1471"/>
      <c r="AV357" s="1471"/>
      <c r="AW357" s="1471"/>
      <c r="AX357" s="1471"/>
      <c r="AY357" s="1471"/>
      <c r="AZ357" s="1471"/>
      <c r="BA357" s="1471"/>
      <c r="BB357" s="1471"/>
      <c r="BC357" s="34"/>
      <c r="BD357" s="34"/>
      <c r="BE357" s="34"/>
      <c r="BF357" s="34"/>
      <c r="BG357" s="34"/>
      <c r="BH357" s="34"/>
      <c r="BI357" s="34"/>
      <c r="BJ357" s="34"/>
      <c r="BK357" s="34"/>
      <c r="BL357" s="34"/>
      <c r="BM357" s="34"/>
      <c r="BN357" s="34"/>
      <c r="BO357" s="34"/>
      <c r="BP357" s="34"/>
      <c r="BQ357" s="34"/>
      <c r="BR357" s="34"/>
    </row>
    <row r="358" ht="12.75" customHeight="1">
      <c r="N358" s="1029"/>
      <c r="AB358" s="1029"/>
      <c r="AN358" s="1957"/>
      <c r="AO358" s="1957"/>
      <c r="AP358" s="1471"/>
      <c r="AQ358" s="1471"/>
      <c r="AR358" s="1471"/>
      <c r="AS358" s="1471"/>
      <c r="AT358" s="1471"/>
      <c r="AU358" s="1471"/>
      <c r="AV358" s="1471"/>
      <c r="AW358" s="1471"/>
      <c r="AX358" s="1471"/>
      <c r="AY358" s="1471"/>
      <c r="AZ358" s="1471"/>
      <c r="BA358" s="1471"/>
      <c r="BB358" s="1471"/>
      <c r="BC358" s="34"/>
      <c r="BD358" s="34"/>
      <c r="BE358" s="34"/>
      <c r="BF358" s="34"/>
      <c r="BG358" s="34"/>
      <c r="BH358" s="34"/>
      <c r="BI358" s="34"/>
      <c r="BJ358" s="34"/>
      <c r="BK358" s="34"/>
      <c r="BL358" s="34"/>
      <c r="BM358" s="34"/>
      <c r="BN358" s="34"/>
      <c r="BO358" s="34"/>
      <c r="BP358" s="34"/>
      <c r="BQ358" s="34"/>
      <c r="BR358" s="34"/>
    </row>
    <row r="359" ht="12.75" customHeight="1">
      <c r="N359" s="1029"/>
      <c r="AB359" s="1029"/>
      <c r="AN359" s="1957"/>
      <c r="AO359" s="1957"/>
      <c r="AP359" s="1471"/>
      <c r="AQ359" s="1471"/>
      <c r="AR359" s="1471"/>
      <c r="AS359" s="1471"/>
      <c r="AT359" s="1471"/>
      <c r="AU359" s="1471"/>
      <c r="AV359" s="1471"/>
      <c r="AW359" s="1471"/>
      <c r="AX359" s="1471"/>
      <c r="AY359" s="1471"/>
      <c r="AZ359" s="1471"/>
      <c r="BA359" s="1471"/>
      <c r="BB359" s="1471"/>
      <c r="BC359" s="34"/>
      <c r="BD359" s="34"/>
      <c r="BE359" s="34"/>
      <c r="BF359" s="34"/>
      <c r="BG359" s="34"/>
      <c r="BH359" s="34"/>
      <c r="BI359" s="34"/>
      <c r="BJ359" s="34"/>
      <c r="BK359" s="34"/>
      <c r="BL359" s="34"/>
      <c r="BM359" s="34"/>
      <c r="BN359" s="34"/>
      <c r="BO359" s="34"/>
      <c r="BP359" s="34"/>
      <c r="BQ359" s="34"/>
      <c r="BR359" s="34"/>
    </row>
    <row r="360" ht="12.75" customHeight="1">
      <c r="N360" s="1029"/>
      <c r="AB360" s="1029"/>
      <c r="AN360" s="1957"/>
      <c r="AO360" s="1957"/>
      <c r="AP360" s="1471"/>
      <c r="AQ360" s="1471"/>
      <c r="AR360" s="1471"/>
      <c r="AS360" s="1471"/>
      <c r="AT360" s="1471"/>
      <c r="AU360" s="1471"/>
      <c r="AV360" s="1471"/>
      <c r="AW360" s="1471"/>
      <c r="AX360" s="1471"/>
      <c r="AY360" s="1471"/>
      <c r="AZ360" s="1471"/>
      <c r="BA360" s="1471"/>
      <c r="BB360" s="1471"/>
      <c r="BC360" s="34"/>
      <c r="BD360" s="34"/>
      <c r="BE360" s="34"/>
      <c r="BF360" s="34"/>
      <c r="BG360" s="34"/>
      <c r="BH360" s="34"/>
      <c r="BI360" s="34"/>
      <c r="BJ360" s="34"/>
      <c r="BK360" s="34"/>
      <c r="BL360" s="34"/>
      <c r="BM360" s="34"/>
      <c r="BN360" s="34"/>
      <c r="BO360" s="34"/>
      <c r="BP360" s="34"/>
      <c r="BQ360" s="34"/>
      <c r="BR360" s="34"/>
    </row>
    <row r="361" ht="12.75" customHeight="1">
      <c r="N361" s="1029"/>
      <c r="AB361" s="1029"/>
      <c r="AN361" s="1957"/>
      <c r="AO361" s="1957"/>
      <c r="AP361" s="1471"/>
      <c r="AQ361" s="1471"/>
      <c r="AR361" s="1471"/>
      <c r="AS361" s="1471"/>
      <c r="AT361" s="1471"/>
      <c r="AU361" s="1471"/>
      <c r="AV361" s="1471"/>
      <c r="AW361" s="1471"/>
      <c r="AX361" s="1471"/>
      <c r="AY361" s="1471"/>
      <c r="AZ361" s="1471"/>
      <c r="BA361" s="1471"/>
      <c r="BB361" s="1471"/>
      <c r="BC361" s="34"/>
      <c r="BD361" s="34"/>
      <c r="BE361" s="34"/>
      <c r="BF361" s="34"/>
      <c r="BG361" s="34"/>
      <c r="BH361" s="34"/>
      <c r="BI361" s="34"/>
      <c r="BJ361" s="34"/>
      <c r="BK361" s="34"/>
      <c r="BL361" s="34"/>
      <c r="BM361" s="34"/>
      <c r="BN361" s="34"/>
      <c r="BO361" s="34"/>
      <c r="BP361" s="34"/>
      <c r="BQ361" s="34"/>
      <c r="BR361" s="34"/>
    </row>
    <row r="362" ht="12.75" customHeight="1">
      <c r="N362" s="1029"/>
      <c r="AB362" s="1029"/>
      <c r="AN362" s="1957"/>
      <c r="AO362" s="1957"/>
      <c r="AP362" s="1471"/>
      <c r="AQ362" s="1471"/>
      <c r="AR362" s="1471"/>
      <c r="AS362" s="1471"/>
      <c r="AT362" s="1471"/>
      <c r="AU362" s="1471"/>
      <c r="AV362" s="1471"/>
      <c r="AW362" s="1471"/>
      <c r="AX362" s="1471"/>
      <c r="AY362" s="1471"/>
      <c r="AZ362" s="1471"/>
      <c r="BA362" s="1471"/>
      <c r="BB362" s="1471"/>
      <c r="BC362" s="34"/>
      <c r="BD362" s="34"/>
      <c r="BE362" s="34"/>
      <c r="BF362" s="34"/>
      <c r="BG362" s="34"/>
      <c r="BH362" s="34"/>
      <c r="BI362" s="34"/>
      <c r="BJ362" s="34"/>
      <c r="BK362" s="34"/>
      <c r="BL362" s="34"/>
      <c r="BM362" s="34"/>
      <c r="BN362" s="34"/>
      <c r="BO362" s="34"/>
      <c r="BP362" s="34"/>
      <c r="BQ362" s="34"/>
      <c r="BR362" s="34"/>
    </row>
    <row r="363" ht="12.75" customHeight="1">
      <c r="N363" s="1029"/>
      <c r="AB363" s="1029"/>
      <c r="AN363" s="1957"/>
      <c r="AO363" s="1957"/>
      <c r="AP363" s="1471"/>
      <c r="AQ363" s="1471"/>
      <c r="AR363" s="1471"/>
      <c r="AS363" s="1471"/>
      <c r="AT363" s="1471"/>
      <c r="AU363" s="1471"/>
      <c r="AV363" s="1471"/>
      <c r="AW363" s="1471"/>
      <c r="AX363" s="1471"/>
      <c r="AY363" s="1471"/>
      <c r="AZ363" s="1471"/>
      <c r="BA363" s="1471"/>
      <c r="BB363" s="1471"/>
      <c r="BC363" s="34"/>
      <c r="BD363" s="34"/>
      <c r="BE363" s="34"/>
      <c r="BF363" s="34"/>
      <c r="BG363" s="34"/>
      <c r="BH363" s="34"/>
      <c r="BI363" s="34"/>
      <c r="BJ363" s="34"/>
      <c r="BK363" s="34"/>
      <c r="BL363" s="34"/>
      <c r="BM363" s="34"/>
      <c r="BN363" s="34"/>
      <c r="BO363" s="34"/>
      <c r="BP363" s="34"/>
      <c r="BQ363" s="34"/>
      <c r="BR363" s="34"/>
    </row>
    <row r="364" ht="12.75" customHeight="1">
      <c r="N364" s="1029"/>
      <c r="AB364" s="1029"/>
      <c r="AN364" s="1957"/>
      <c r="AO364" s="1957"/>
      <c r="AP364" s="1471"/>
      <c r="AQ364" s="1471"/>
      <c r="AR364" s="1471"/>
      <c r="AS364" s="1471"/>
      <c r="AT364" s="1471"/>
      <c r="AU364" s="1471"/>
      <c r="AV364" s="1471"/>
      <c r="AW364" s="1471"/>
      <c r="AX364" s="1471"/>
      <c r="AY364" s="1471"/>
      <c r="AZ364" s="1471"/>
      <c r="BA364" s="1471"/>
      <c r="BB364" s="1471"/>
      <c r="BC364" s="34"/>
      <c r="BD364" s="34"/>
      <c r="BE364" s="34"/>
      <c r="BF364" s="34"/>
      <c r="BG364" s="34"/>
      <c r="BH364" s="34"/>
      <c r="BI364" s="34"/>
      <c r="BJ364" s="34"/>
      <c r="BK364" s="34"/>
      <c r="BL364" s="34"/>
      <c r="BM364" s="34"/>
      <c r="BN364" s="34"/>
      <c r="BO364" s="34"/>
      <c r="BP364" s="34"/>
      <c r="BQ364" s="34"/>
      <c r="BR364" s="34"/>
    </row>
    <row r="365" ht="12.75" customHeight="1">
      <c r="N365" s="1029"/>
      <c r="AB365" s="1029"/>
      <c r="AN365" s="1957"/>
      <c r="AO365" s="1957"/>
      <c r="AP365" s="1471"/>
      <c r="AQ365" s="1471"/>
      <c r="AR365" s="1471"/>
      <c r="AS365" s="1471"/>
      <c r="AT365" s="1471"/>
      <c r="AU365" s="1471"/>
      <c r="AV365" s="1471"/>
      <c r="AW365" s="1471"/>
      <c r="AX365" s="1471"/>
      <c r="AY365" s="1471"/>
      <c r="AZ365" s="1471"/>
      <c r="BA365" s="1471"/>
      <c r="BB365" s="1471"/>
      <c r="BC365" s="34"/>
      <c r="BD365" s="34"/>
      <c r="BE365" s="34"/>
      <c r="BF365" s="34"/>
      <c r="BG365" s="34"/>
      <c r="BH365" s="34"/>
      <c r="BI365" s="34"/>
      <c r="BJ365" s="34"/>
      <c r="BK365" s="34"/>
      <c r="BL365" s="34"/>
      <c r="BM365" s="34"/>
      <c r="BN365" s="34"/>
      <c r="BO365" s="34"/>
      <c r="BP365" s="34"/>
      <c r="BQ365" s="34"/>
      <c r="BR365" s="34"/>
    </row>
    <row r="366" ht="12.75" customHeight="1">
      <c r="A366" s="1029"/>
      <c r="B366" s="1029"/>
      <c r="C366" s="1029"/>
      <c r="D366" s="1029"/>
      <c r="E366" s="1029"/>
      <c r="F366" s="1029"/>
      <c r="G366" s="1029"/>
      <c r="H366" s="1029"/>
      <c r="I366" s="1029"/>
      <c r="J366" s="1029"/>
      <c r="K366" s="1029"/>
      <c r="L366" s="1029"/>
      <c r="M366" s="1029"/>
      <c r="N366" s="1029"/>
      <c r="O366" s="1029"/>
      <c r="P366" s="1029"/>
      <c r="Q366" s="1029"/>
      <c r="R366" s="1029"/>
      <c r="S366" s="1029"/>
      <c r="T366" s="1029"/>
      <c r="U366" s="1029"/>
      <c r="V366" s="1029"/>
      <c r="W366" s="1029"/>
      <c r="X366" s="1029"/>
      <c r="Y366" s="1029"/>
      <c r="Z366" s="1029"/>
      <c r="AA366" s="1029"/>
      <c r="AB366" s="1029"/>
      <c r="AC366" s="1029"/>
      <c r="AD366" s="1029"/>
      <c r="AE366" s="1029"/>
      <c r="AF366" s="1029"/>
      <c r="AG366" s="1029"/>
      <c r="AH366" s="1029"/>
      <c r="AI366" s="1029"/>
      <c r="AJ366" s="1029"/>
      <c r="AK366" s="1029"/>
      <c r="AL366" s="1029"/>
      <c r="AM366" s="1029"/>
      <c r="AN366" s="1957"/>
      <c r="AO366" s="1957"/>
      <c r="AP366" s="1471"/>
      <c r="AQ366" s="1471"/>
      <c r="AR366" s="1471"/>
      <c r="AS366" s="1471"/>
      <c r="AT366" s="1471"/>
      <c r="AU366" s="1471"/>
      <c r="AV366" s="1471"/>
      <c r="AW366" s="1471"/>
      <c r="AX366" s="1471"/>
      <c r="AY366" s="1471"/>
      <c r="AZ366" s="1471"/>
      <c r="BA366" s="1471"/>
      <c r="BB366" s="1471"/>
      <c r="BC366" s="34"/>
      <c r="BD366" s="34"/>
      <c r="BE366" s="34"/>
      <c r="BF366" s="34"/>
      <c r="BG366" s="34"/>
      <c r="BH366" s="34"/>
      <c r="BI366" s="34"/>
      <c r="BJ366" s="34"/>
      <c r="BK366" s="34"/>
      <c r="BL366" s="34"/>
      <c r="BM366" s="34"/>
      <c r="BN366" s="34"/>
      <c r="BO366" s="34"/>
      <c r="BP366" s="34"/>
      <c r="BQ366" s="34"/>
      <c r="BR366" s="34"/>
    </row>
    <row r="367" ht="12.75" customHeight="1">
      <c r="A367" s="1769" t="str">
        <f>VLOOKUP("16.jp*g",Fotos!$A$2:$E444,5,FALSE)</f>
        <v/>
      </c>
      <c r="N367" s="1029"/>
      <c r="O367" s="1770" t="str">
        <f>VLOOKUP("17.jp*g",Fotos!$A$2:$E444,5,FALSE)</f>
        <v/>
      </c>
      <c r="AB367" s="1029"/>
      <c r="AC367" s="1770" t="str">
        <f>VLOOKUP("18.jp*g",Fotos!$A$2:$E444,5,FALSE)</f>
        <v/>
      </c>
      <c r="AN367" s="1957"/>
      <c r="AO367" s="1957"/>
      <c r="AP367" s="1471"/>
      <c r="AQ367" s="1471"/>
      <c r="AR367" s="1471"/>
      <c r="AS367" s="1471"/>
      <c r="AT367" s="1471"/>
      <c r="AU367" s="1471"/>
      <c r="AV367" s="1471"/>
      <c r="AW367" s="1471"/>
      <c r="AX367" s="1471"/>
      <c r="AY367" s="1471"/>
      <c r="AZ367" s="1471"/>
      <c r="BA367" s="1471"/>
      <c r="BB367" s="1471"/>
      <c r="BC367" s="34"/>
      <c r="BD367" s="34"/>
      <c r="BE367" s="34"/>
      <c r="BF367" s="34"/>
      <c r="BG367" s="34"/>
      <c r="BH367" s="34"/>
      <c r="BI367" s="34"/>
      <c r="BJ367" s="34"/>
      <c r="BK367" s="34"/>
      <c r="BL367" s="34"/>
      <c r="BM367" s="34"/>
      <c r="BN367" s="34"/>
      <c r="BO367" s="34"/>
      <c r="BP367" s="34"/>
      <c r="BQ367" s="34"/>
      <c r="BR367" s="34"/>
    </row>
    <row r="368" ht="12.75" customHeight="1">
      <c r="N368" s="1029"/>
      <c r="AB368" s="1029"/>
      <c r="AN368" s="1957"/>
      <c r="AO368" s="1957"/>
      <c r="AP368" s="1471"/>
      <c r="AQ368" s="1471"/>
      <c r="AR368" s="1471"/>
      <c r="AS368" s="1471"/>
      <c r="AT368" s="1471"/>
      <c r="AU368" s="1471"/>
      <c r="AV368" s="1471"/>
      <c r="AW368" s="1471"/>
      <c r="AX368" s="1471"/>
      <c r="AY368" s="1471"/>
      <c r="AZ368" s="1471"/>
      <c r="BA368" s="1471"/>
      <c r="BB368" s="1471"/>
      <c r="BC368" s="34"/>
      <c r="BD368" s="34"/>
      <c r="BE368" s="34"/>
      <c r="BF368" s="34"/>
      <c r="BG368" s="34"/>
      <c r="BH368" s="34"/>
      <c r="BI368" s="34"/>
      <c r="BJ368" s="34"/>
      <c r="BK368" s="34"/>
      <c r="BL368" s="34"/>
      <c r="BM368" s="34"/>
      <c r="BN368" s="34"/>
      <c r="BO368" s="34"/>
      <c r="BP368" s="34"/>
      <c r="BQ368" s="34"/>
      <c r="BR368" s="34"/>
    </row>
    <row r="369" ht="12.75" customHeight="1">
      <c r="N369" s="1029"/>
      <c r="AB369" s="1029"/>
      <c r="AN369" s="1957"/>
      <c r="AO369" s="1957"/>
      <c r="AP369" s="1471"/>
      <c r="AQ369" s="1471"/>
      <c r="AR369" s="1471"/>
      <c r="AS369" s="1471"/>
      <c r="AT369" s="1471"/>
      <c r="AU369" s="1471"/>
      <c r="AV369" s="1471"/>
      <c r="AW369" s="1471"/>
      <c r="AX369" s="1471"/>
      <c r="AY369" s="1471"/>
      <c r="AZ369" s="1471"/>
      <c r="BA369" s="1471"/>
      <c r="BB369" s="1471"/>
      <c r="BC369" s="34"/>
      <c r="BD369" s="34"/>
      <c r="BE369" s="34"/>
      <c r="BF369" s="34"/>
      <c r="BG369" s="34"/>
      <c r="BH369" s="34"/>
      <c r="BI369" s="34"/>
      <c r="BJ369" s="34"/>
      <c r="BK369" s="34"/>
      <c r="BL369" s="34"/>
      <c r="BM369" s="34"/>
      <c r="BN369" s="34"/>
      <c r="BO369" s="34"/>
      <c r="BP369" s="34"/>
      <c r="BQ369" s="34"/>
      <c r="BR369" s="34"/>
    </row>
    <row r="370" ht="12.75" customHeight="1">
      <c r="N370" s="1029"/>
      <c r="AB370" s="1029"/>
      <c r="AN370" s="1957"/>
      <c r="AO370" s="1957"/>
      <c r="AP370" s="1471"/>
      <c r="AQ370" s="1471"/>
      <c r="AR370" s="1471"/>
      <c r="AS370" s="1471"/>
      <c r="AT370" s="1471"/>
      <c r="AU370" s="1471"/>
      <c r="AV370" s="1471"/>
      <c r="AW370" s="1471"/>
      <c r="AX370" s="1471"/>
      <c r="AY370" s="1471"/>
      <c r="AZ370" s="1471"/>
      <c r="BA370" s="1471"/>
      <c r="BB370" s="1471"/>
      <c r="BC370" s="34"/>
      <c r="BD370" s="34"/>
      <c r="BE370" s="34"/>
      <c r="BF370" s="34"/>
      <c r="BG370" s="34"/>
      <c r="BH370" s="34"/>
      <c r="BI370" s="34"/>
      <c r="BJ370" s="34"/>
      <c r="BK370" s="34"/>
      <c r="BL370" s="34"/>
      <c r="BM370" s="34"/>
      <c r="BN370" s="34"/>
      <c r="BO370" s="34"/>
      <c r="BP370" s="34"/>
      <c r="BQ370" s="34"/>
      <c r="BR370" s="34"/>
    </row>
    <row r="371" ht="12.75" customHeight="1">
      <c r="N371" s="1029"/>
      <c r="AB371" s="1029"/>
      <c r="AN371" s="1957"/>
      <c r="AO371" s="1957"/>
      <c r="AP371" s="1471"/>
      <c r="AQ371" s="1471"/>
      <c r="AR371" s="1471"/>
      <c r="AS371" s="1471"/>
      <c r="AT371" s="1471"/>
      <c r="AU371" s="1471"/>
      <c r="AV371" s="1471"/>
      <c r="AW371" s="1471"/>
      <c r="AX371" s="1471"/>
      <c r="AY371" s="1471"/>
      <c r="AZ371" s="1471"/>
      <c r="BA371" s="1471"/>
      <c r="BB371" s="1471"/>
      <c r="BC371" s="34"/>
      <c r="BD371" s="34"/>
      <c r="BE371" s="34"/>
      <c r="BF371" s="34"/>
      <c r="BG371" s="34"/>
      <c r="BH371" s="34"/>
      <c r="BI371" s="34"/>
      <c r="BJ371" s="34"/>
      <c r="BK371" s="34"/>
      <c r="BL371" s="34"/>
      <c r="BM371" s="34"/>
      <c r="BN371" s="34"/>
      <c r="BO371" s="34"/>
      <c r="BP371" s="34"/>
      <c r="BQ371" s="34"/>
      <c r="BR371" s="34"/>
    </row>
    <row r="372" ht="12.75" customHeight="1">
      <c r="N372" s="1029"/>
      <c r="AB372" s="1029"/>
      <c r="AN372" s="1957"/>
      <c r="AO372" s="1957"/>
      <c r="AP372" s="1471"/>
      <c r="AQ372" s="1471"/>
      <c r="AR372" s="1471"/>
      <c r="AS372" s="1471"/>
      <c r="AT372" s="1471"/>
      <c r="AU372" s="1471"/>
      <c r="AV372" s="1471"/>
      <c r="AW372" s="1471"/>
      <c r="AX372" s="1471"/>
      <c r="AY372" s="1471"/>
      <c r="AZ372" s="1471"/>
      <c r="BA372" s="1471"/>
      <c r="BB372" s="1471"/>
      <c r="BC372" s="34"/>
      <c r="BD372" s="34"/>
      <c r="BE372" s="34"/>
      <c r="BF372" s="34"/>
      <c r="BG372" s="34"/>
      <c r="BH372" s="34"/>
      <c r="BI372" s="34"/>
      <c r="BJ372" s="34"/>
      <c r="BK372" s="34"/>
      <c r="BL372" s="34"/>
      <c r="BM372" s="34"/>
      <c r="BN372" s="34"/>
      <c r="BO372" s="34"/>
      <c r="BP372" s="34"/>
      <c r="BQ372" s="34"/>
      <c r="BR372" s="34"/>
    </row>
    <row r="373" ht="12.75" customHeight="1">
      <c r="N373" s="1029"/>
      <c r="AB373" s="1029"/>
      <c r="AN373" s="1957"/>
      <c r="AO373" s="1957"/>
      <c r="AP373" s="1471"/>
      <c r="AQ373" s="1471"/>
      <c r="AR373" s="1471"/>
      <c r="AS373" s="1471"/>
      <c r="AT373" s="1471"/>
      <c r="AU373" s="1471"/>
      <c r="AV373" s="1471"/>
      <c r="AW373" s="1471"/>
      <c r="AX373" s="1471"/>
      <c r="AY373" s="1471"/>
      <c r="AZ373" s="1471"/>
      <c r="BA373" s="1471"/>
      <c r="BB373" s="1471"/>
      <c r="BC373" s="34"/>
      <c r="BD373" s="34"/>
      <c r="BE373" s="34"/>
      <c r="BF373" s="34"/>
      <c r="BG373" s="34"/>
      <c r="BH373" s="34"/>
      <c r="BI373" s="34"/>
      <c r="BJ373" s="34"/>
      <c r="BK373" s="34"/>
      <c r="BL373" s="34"/>
      <c r="BM373" s="34"/>
      <c r="BN373" s="34"/>
      <c r="BO373" s="34"/>
      <c r="BP373" s="34"/>
      <c r="BQ373" s="34"/>
      <c r="BR373" s="34"/>
    </row>
    <row r="374" ht="12.75" customHeight="1">
      <c r="N374" s="1029"/>
      <c r="AB374" s="1029"/>
      <c r="AN374" s="1957"/>
      <c r="AO374" s="1957"/>
      <c r="AP374" s="1471"/>
      <c r="AQ374" s="1471"/>
      <c r="AR374" s="1471"/>
      <c r="AS374" s="1471"/>
      <c r="AT374" s="1471"/>
      <c r="AU374" s="1471"/>
      <c r="AV374" s="1471"/>
      <c r="AW374" s="1471"/>
      <c r="AX374" s="1471"/>
      <c r="AY374" s="1471"/>
      <c r="AZ374" s="1471"/>
      <c r="BA374" s="1471"/>
      <c r="BB374" s="1471"/>
      <c r="BC374" s="34"/>
      <c r="BD374" s="34"/>
      <c r="BE374" s="34"/>
      <c r="BF374" s="34"/>
      <c r="BG374" s="34"/>
      <c r="BH374" s="34"/>
      <c r="BI374" s="34"/>
      <c r="BJ374" s="34"/>
      <c r="BK374" s="34"/>
      <c r="BL374" s="34"/>
      <c r="BM374" s="34"/>
      <c r="BN374" s="34"/>
      <c r="BO374" s="34"/>
      <c r="BP374" s="34"/>
      <c r="BQ374" s="34"/>
      <c r="BR374" s="34"/>
    </row>
    <row r="375" ht="12.75" customHeight="1">
      <c r="N375" s="1029"/>
      <c r="AB375" s="1029"/>
      <c r="AN375" s="1957"/>
      <c r="AO375" s="1957"/>
      <c r="AP375" s="1471"/>
      <c r="AQ375" s="1471"/>
      <c r="AR375" s="1471"/>
      <c r="AS375" s="1471"/>
      <c r="AT375" s="1471"/>
      <c r="AU375" s="1471"/>
      <c r="AV375" s="1471"/>
      <c r="AW375" s="1471"/>
      <c r="AX375" s="1471"/>
      <c r="AY375" s="1471"/>
      <c r="AZ375" s="1471"/>
      <c r="BA375" s="1471"/>
      <c r="BB375" s="1471"/>
      <c r="BC375" s="34"/>
      <c r="BD375" s="34"/>
      <c r="BE375" s="34"/>
      <c r="BF375" s="34"/>
      <c r="BG375" s="34"/>
      <c r="BH375" s="34"/>
      <c r="BI375" s="34"/>
      <c r="BJ375" s="34"/>
      <c r="BK375" s="34"/>
      <c r="BL375" s="34"/>
      <c r="BM375" s="34"/>
      <c r="BN375" s="34"/>
      <c r="BO375" s="34"/>
      <c r="BP375" s="34"/>
      <c r="BQ375" s="34"/>
      <c r="BR375" s="34"/>
    </row>
    <row r="376" ht="12.75" customHeight="1">
      <c r="N376" s="1029"/>
      <c r="AB376" s="1029"/>
      <c r="AN376" s="1957"/>
      <c r="AO376" s="1957"/>
      <c r="AP376" s="1471"/>
      <c r="AQ376" s="1471"/>
      <c r="AR376" s="1471"/>
      <c r="AS376" s="1471"/>
      <c r="AT376" s="1471"/>
      <c r="AU376" s="1471"/>
      <c r="AV376" s="1471"/>
      <c r="AW376" s="1471"/>
      <c r="AX376" s="1471"/>
      <c r="AY376" s="1471"/>
      <c r="AZ376" s="1471"/>
      <c r="BA376" s="1471"/>
      <c r="BB376" s="1471"/>
      <c r="BC376" s="34"/>
      <c r="BD376" s="34"/>
      <c r="BE376" s="34"/>
      <c r="BF376" s="34"/>
      <c r="BG376" s="34"/>
      <c r="BH376" s="34"/>
      <c r="BI376" s="34"/>
      <c r="BJ376" s="34"/>
      <c r="BK376" s="34"/>
      <c r="BL376" s="34"/>
      <c r="BM376" s="34"/>
      <c r="BN376" s="34"/>
      <c r="BO376" s="34"/>
      <c r="BP376" s="34"/>
      <c r="BQ376" s="34"/>
      <c r="BR376" s="34"/>
    </row>
    <row r="377" ht="12.75" customHeight="1">
      <c r="N377" s="1029"/>
      <c r="AB377" s="1029"/>
      <c r="AN377" s="1957"/>
      <c r="AO377" s="1957"/>
      <c r="AP377" s="1471"/>
      <c r="AQ377" s="1471"/>
      <c r="AR377" s="1471"/>
      <c r="AS377" s="1471"/>
      <c r="AT377" s="1471"/>
      <c r="AU377" s="1471"/>
      <c r="AV377" s="1471"/>
      <c r="AW377" s="1471"/>
      <c r="AX377" s="1471"/>
      <c r="AY377" s="1471"/>
      <c r="AZ377" s="1471"/>
      <c r="BA377" s="1471"/>
      <c r="BB377" s="1471"/>
      <c r="BC377" s="34"/>
      <c r="BD377" s="34"/>
      <c r="BE377" s="34"/>
      <c r="BF377" s="34"/>
      <c r="BG377" s="34"/>
      <c r="BH377" s="34"/>
      <c r="BI377" s="34"/>
      <c r="BJ377" s="34"/>
      <c r="BK377" s="34"/>
      <c r="BL377" s="34"/>
      <c r="BM377" s="34"/>
      <c r="BN377" s="34"/>
      <c r="BO377" s="34"/>
      <c r="BP377" s="34"/>
      <c r="BQ377" s="34"/>
      <c r="BR377" s="34"/>
    </row>
    <row r="378" ht="12.75" customHeight="1">
      <c r="N378" s="1029"/>
      <c r="AB378" s="1029"/>
      <c r="AN378" s="1957"/>
      <c r="AO378" s="1957"/>
      <c r="AP378" s="1471"/>
      <c r="AQ378" s="1471"/>
      <c r="AR378" s="1471"/>
      <c r="AS378" s="1471"/>
      <c r="AT378" s="1471"/>
      <c r="AU378" s="1471"/>
      <c r="AV378" s="1471"/>
      <c r="AW378" s="1471"/>
      <c r="AX378" s="1471"/>
      <c r="AY378" s="1471"/>
      <c r="AZ378" s="1471"/>
      <c r="BA378" s="1471"/>
      <c r="BB378" s="1471"/>
      <c r="BC378" s="34"/>
      <c r="BD378" s="34"/>
      <c r="BE378" s="34"/>
      <c r="BF378" s="34"/>
      <c r="BG378" s="34"/>
      <c r="BH378" s="34"/>
      <c r="BI378" s="34"/>
      <c r="BJ378" s="34"/>
      <c r="BK378" s="34"/>
      <c r="BL378" s="34"/>
      <c r="BM378" s="34"/>
      <c r="BN378" s="34"/>
      <c r="BO378" s="34"/>
      <c r="BP378" s="34"/>
      <c r="BQ378" s="34"/>
      <c r="BR378" s="34"/>
    </row>
    <row r="379" ht="12.75" customHeight="1">
      <c r="N379" s="1029"/>
      <c r="AB379" s="1029"/>
      <c r="AN379" s="1957"/>
      <c r="AO379" s="1957"/>
      <c r="AP379" s="1471"/>
      <c r="AQ379" s="1471"/>
      <c r="AR379" s="1471"/>
      <c r="AS379" s="1471"/>
      <c r="AT379" s="1471"/>
      <c r="AU379" s="1471"/>
      <c r="AV379" s="1471"/>
      <c r="AW379" s="1471"/>
      <c r="AX379" s="1471"/>
      <c r="AY379" s="1471"/>
      <c r="AZ379" s="1471"/>
      <c r="BA379" s="1471"/>
      <c r="BB379" s="1471"/>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957"/>
      <c r="AO380" s="1957"/>
      <c r="AP380" s="1957"/>
      <c r="AQ380" s="1957"/>
      <c r="AR380" s="1957"/>
      <c r="AS380" s="1957"/>
      <c r="AT380" s="1957"/>
      <c r="AU380" s="1957"/>
      <c r="AV380" s="1957"/>
      <c r="AW380" s="1957"/>
      <c r="AX380" s="1957"/>
      <c r="AY380" s="1957"/>
      <c r="AZ380" s="1957"/>
      <c r="BA380" s="1957"/>
      <c r="BB380" s="1957"/>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957"/>
      <c r="AO381" s="1957"/>
      <c r="AP381" s="1957"/>
      <c r="AQ381" s="1957"/>
      <c r="AR381" s="1957"/>
      <c r="AS381" s="1957"/>
      <c r="AT381" s="1957"/>
      <c r="AU381" s="1957"/>
      <c r="AV381" s="1957"/>
      <c r="AW381" s="1957"/>
      <c r="AX381" s="1957"/>
      <c r="AY381" s="1957"/>
      <c r="AZ381" s="1957"/>
      <c r="BA381" s="1957"/>
      <c r="BB381" s="1957"/>
    </row>
    <row r="382" ht="12.75" customHeight="1">
      <c r="A382" s="1374" t="s">
        <v>295</v>
      </c>
      <c r="AN382" s="1957"/>
      <c r="AO382" s="1957"/>
      <c r="AP382" s="1957"/>
      <c r="AQ382" s="1957"/>
      <c r="AR382" s="1957"/>
      <c r="AS382" s="1957"/>
      <c r="AT382" s="1957"/>
      <c r="AU382" s="1957"/>
      <c r="AV382" s="1957"/>
      <c r="AW382" s="1957"/>
      <c r="AX382" s="1957"/>
      <c r="AY382" s="1957"/>
      <c r="AZ382" s="1957"/>
      <c r="BA382" s="1957"/>
      <c r="BB382" s="1957"/>
    </row>
    <row r="383" ht="12.75" customHeight="1">
      <c r="A383" s="34"/>
      <c r="B383" s="34"/>
      <c r="C383" s="34"/>
      <c r="D383" s="34"/>
      <c r="E383" s="34"/>
      <c r="F383" s="34"/>
      <c r="G383" s="34"/>
      <c r="H383" s="34"/>
      <c r="I383" s="34"/>
      <c r="J383" s="34"/>
      <c r="K383" s="34"/>
      <c r="L383" s="34"/>
      <c r="M383" s="34"/>
      <c r="N383" s="34"/>
      <c r="O383" s="34"/>
      <c r="P383" s="34"/>
      <c r="Q383" s="34"/>
      <c r="AN383" s="1957"/>
      <c r="AO383" s="1957"/>
      <c r="AP383" s="1957"/>
      <c r="AQ383" s="1957"/>
      <c r="AR383" s="1957"/>
      <c r="AS383" s="1957"/>
      <c r="AT383" s="1957"/>
      <c r="AU383" s="1957"/>
      <c r="AV383" s="1957"/>
      <c r="AW383" s="1957"/>
      <c r="AX383" s="1957"/>
      <c r="AY383" s="1957"/>
      <c r="AZ383" s="1957"/>
      <c r="BA383" s="1957"/>
      <c r="BB383" s="1957"/>
    </row>
    <row r="384" ht="12.75" customHeight="1">
      <c r="A384" s="34"/>
      <c r="B384" s="34"/>
      <c r="C384" s="34"/>
      <c r="D384" s="34"/>
      <c r="E384" s="34"/>
      <c r="F384" s="34"/>
      <c r="G384" s="34"/>
      <c r="H384" s="34"/>
      <c r="I384" s="34"/>
      <c r="J384" s="34"/>
      <c r="K384" s="34"/>
      <c r="L384" s="34"/>
      <c r="M384" s="34"/>
      <c r="N384" s="34"/>
      <c r="O384" s="34"/>
      <c r="P384" s="34"/>
      <c r="Q384" s="34"/>
      <c r="AN384" s="1957"/>
      <c r="AO384" s="1957"/>
      <c r="AP384" s="1957"/>
      <c r="AQ384" s="1957"/>
      <c r="AR384" s="1957"/>
      <c r="AS384" s="1957"/>
      <c r="AT384" s="1957"/>
      <c r="AU384" s="1957"/>
      <c r="AV384" s="1957"/>
      <c r="AW384" s="1957"/>
      <c r="AX384" s="1957"/>
      <c r="AY384" s="1957"/>
      <c r="AZ384" s="1957"/>
      <c r="BA384" s="1957"/>
      <c r="BB384" s="1957"/>
    </row>
    <row r="385" ht="12.75" customHeight="1">
      <c r="A385" s="34"/>
      <c r="B385" s="34"/>
      <c r="C385" s="34"/>
      <c r="D385" s="34"/>
      <c r="E385" s="34"/>
      <c r="F385" s="34"/>
      <c r="G385" s="34"/>
      <c r="H385" s="34"/>
      <c r="I385" s="34"/>
      <c r="J385" s="34"/>
      <c r="K385" s="34"/>
      <c r="L385" s="34"/>
      <c r="M385" s="34"/>
      <c r="N385" s="34"/>
      <c r="O385" s="34"/>
      <c r="P385" s="34"/>
      <c r="Q385" s="34"/>
      <c r="AN385" s="1957"/>
      <c r="AO385" s="1957"/>
      <c r="AP385" s="1957"/>
      <c r="AQ385" s="1957"/>
      <c r="AR385" s="1957"/>
      <c r="AS385" s="1957"/>
      <c r="AT385" s="1957"/>
      <c r="AU385" s="1957"/>
      <c r="AV385" s="1957"/>
      <c r="AW385" s="1957"/>
      <c r="AX385" s="1957"/>
      <c r="AY385" s="1957"/>
      <c r="AZ385" s="1957"/>
      <c r="BA385" s="1957"/>
      <c r="BB385" s="1957"/>
    </row>
    <row r="386" ht="12.75" customHeight="1">
      <c r="A386" s="34"/>
      <c r="B386" s="34"/>
      <c r="C386" s="34"/>
      <c r="D386" s="34"/>
      <c r="E386" s="82"/>
      <c r="F386" s="843"/>
      <c r="O386" s="844"/>
      <c r="P386" s="844"/>
      <c r="Q386" s="844"/>
      <c r="AN386" s="1957"/>
      <c r="AO386" s="1957"/>
      <c r="AP386" s="1957"/>
      <c r="AQ386" s="1957"/>
      <c r="AR386" s="1957"/>
      <c r="AS386" s="1957"/>
      <c r="AT386" s="1957"/>
      <c r="AU386" s="1957"/>
      <c r="AV386" s="1957"/>
      <c r="AW386" s="1957"/>
      <c r="AX386" s="1957"/>
      <c r="AY386" s="1957"/>
      <c r="AZ386" s="1957"/>
      <c r="BA386" s="1957"/>
      <c r="BB386" s="1957"/>
    </row>
    <row r="387" ht="12.75" customHeight="1">
      <c r="A387" s="34"/>
      <c r="B387" s="34"/>
      <c r="C387" s="845"/>
      <c r="D387" s="845"/>
      <c r="E387" s="846"/>
      <c r="F387" s="34"/>
      <c r="G387" s="34"/>
      <c r="H387" s="34"/>
      <c r="I387" s="34"/>
      <c r="J387" s="34"/>
      <c r="K387" s="34"/>
      <c r="L387" s="34"/>
      <c r="M387" s="34"/>
      <c r="N387" s="34"/>
      <c r="O387" s="34"/>
      <c r="P387" s="34"/>
      <c r="Q387" s="34"/>
      <c r="AN387" s="1957"/>
      <c r="AO387" s="1957"/>
      <c r="AP387" s="1957"/>
      <c r="AQ387" s="1957"/>
      <c r="AR387" s="1957"/>
      <c r="AS387" s="1957"/>
      <c r="AT387" s="1957"/>
      <c r="AU387" s="1957"/>
      <c r="AV387" s="1957"/>
      <c r="AW387" s="1957"/>
      <c r="AX387" s="1957"/>
      <c r="AY387" s="1957"/>
      <c r="AZ387" s="1957"/>
      <c r="BA387" s="1957"/>
      <c r="BB387" s="1957"/>
    </row>
    <row r="388" ht="12.75" customHeight="1">
      <c r="A388" s="34"/>
      <c r="B388" s="34"/>
      <c r="C388" s="34"/>
      <c r="D388" s="34"/>
      <c r="E388" s="82"/>
      <c r="F388" s="843"/>
      <c r="O388" s="34"/>
      <c r="P388" s="34"/>
      <c r="Q388" s="34"/>
      <c r="AN388" s="1957"/>
      <c r="AO388" s="1957"/>
      <c r="AP388" s="1957"/>
      <c r="AQ388" s="1957"/>
      <c r="AR388" s="1957"/>
      <c r="AS388" s="1957"/>
      <c r="AT388" s="1957"/>
      <c r="AU388" s="1957"/>
      <c r="AV388" s="1957"/>
      <c r="AW388" s="1957"/>
      <c r="AX388" s="1957"/>
      <c r="AY388" s="1957"/>
      <c r="AZ388" s="1957"/>
      <c r="BA388" s="1957"/>
      <c r="BB388" s="1957"/>
    </row>
    <row r="389" ht="12.75" customHeight="1">
      <c r="A389" s="34"/>
      <c r="B389" s="34"/>
      <c r="C389" s="34"/>
      <c r="D389" s="34"/>
      <c r="E389" s="34"/>
      <c r="F389" s="34"/>
      <c r="G389" s="34"/>
      <c r="H389" s="34"/>
      <c r="I389" s="34"/>
      <c r="J389" s="34"/>
      <c r="K389" s="34"/>
      <c r="L389" s="34"/>
      <c r="M389" s="34"/>
      <c r="N389" s="34"/>
      <c r="O389" s="842"/>
      <c r="P389" s="842"/>
      <c r="Q389" s="842"/>
      <c r="AN389" s="1957"/>
      <c r="AO389" s="1957"/>
      <c r="AP389" s="1957"/>
      <c r="AQ389" s="1957"/>
      <c r="AR389" s="1957"/>
      <c r="AS389" s="1957"/>
      <c r="AT389" s="1957"/>
      <c r="AU389" s="1957"/>
      <c r="AV389" s="1957"/>
      <c r="AW389" s="1957"/>
      <c r="AX389" s="1957"/>
      <c r="AY389" s="1957"/>
      <c r="AZ389" s="1957"/>
      <c r="BA389" s="1957"/>
      <c r="BB389" s="1957"/>
    </row>
    <row r="390" ht="12.75" customHeight="1">
      <c r="A390" s="34"/>
      <c r="B390" s="34"/>
      <c r="C390" s="34"/>
      <c r="D390" s="34"/>
      <c r="E390" s="82"/>
      <c r="F390" s="843"/>
      <c r="O390" s="34"/>
      <c r="P390" s="34"/>
      <c r="Q390" s="34"/>
      <c r="AN390" s="1957"/>
      <c r="AO390" s="1957"/>
      <c r="AP390" s="1957"/>
      <c r="AQ390" s="1957"/>
      <c r="AR390" s="1957"/>
      <c r="AS390" s="1957"/>
      <c r="AT390" s="1957"/>
      <c r="AU390" s="1957"/>
      <c r="AV390" s="1957"/>
      <c r="AW390" s="1957"/>
      <c r="AX390" s="1957"/>
      <c r="AY390" s="1957"/>
      <c r="AZ390" s="1957"/>
      <c r="BA390" s="1957"/>
      <c r="BB390" s="1957"/>
    </row>
    <row r="391" ht="12.75" customHeight="1">
      <c r="A391" s="34"/>
      <c r="B391" s="34"/>
      <c r="C391" s="34"/>
      <c r="D391" s="34"/>
      <c r="E391" s="34"/>
      <c r="F391" s="34"/>
      <c r="G391" s="34"/>
      <c r="H391" s="34"/>
      <c r="I391" s="34"/>
      <c r="J391" s="34"/>
      <c r="K391" s="847"/>
      <c r="L391" s="847"/>
      <c r="M391" s="847"/>
      <c r="N391" s="847"/>
      <c r="O391" s="847"/>
      <c r="P391" s="847"/>
      <c r="Q391" s="34"/>
      <c r="AN391" s="1957"/>
      <c r="AO391" s="1957"/>
      <c r="AP391" s="1957"/>
      <c r="AQ391" s="1957"/>
      <c r="AR391" s="1957"/>
      <c r="AS391" s="1957"/>
      <c r="AT391" s="1957"/>
      <c r="AU391" s="1957"/>
      <c r="AV391" s="1957"/>
      <c r="AW391" s="1957"/>
      <c r="AX391" s="1957"/>
      <c r="AY391" s="1957"/>
      <c r="AZ391" s="1957"/>
      <c r="BA391" s="1957"/>
      <c r="BB391" s="1957"/>
    </row>
    <row r="392" ht="12.75" customHeight="1">
      <c r="A392" s="848"/>
      <c r="B392" s="848"/>
      <c r="C392" s="2285" t="s">
        <v>300</v>
      </c>
      <c r="P392" s="851"/>
      <c r="Q392" s="851"/>
      <c r="AN392" s="1957"/>
      <c r="AO392" s="1957"/>
      <c r="AP392" s="1957"/>
      <c r="AQ392" s="1957"/>
      <c r="AR392" s="1957"/>
      <c r="AS392" s="1957"/>
      <c r="AT392" s="1957"/>
      <c r="AU392" s="1957"/>
      <c r="AV392" s="1957"/>
      <c r="AW392" s="1957"/>
      <c r="AX392" s="1957"/>
      <c r="AY392" s="1957"/>
      <c r="AZ392" s="1957"/>
      <c r="BA392" s="1957"/>
      <c r="BB392" s="1957"/>
    </row>
    <row r="393" ht="12.75" customHeight="1">
      <c r="A393" s="848"/>
      <c r="B393" s="848"/>
      <c r="P393" s="848"/>
      <c r="Q393" s="848"/>
      <c r="W393" s="846"/>
      <c r="AN393" s="1957"/>
      <c r="AO393" s="1957"/>
      <c r="AP393" s="1957"/>
      <c r="AQ393" s="1957"/>
      <c r="AR393" s="1957"/>
      <c r="AS393" s="1957"/>
      <c r="AT393" s="1957"/>
      <c r="AU393" s="1957"/>
      <c r="AV393" s="1957"/>
      <c r="AW393" s="1957"/>
      <c r="AX393" s="1957"/>
      <c r="AY393" s="1957"/>
      <c r="AZ393" s="1957"/>
      <c r="BA393" s="1957"/>
      <c r="BB393" s="1957"/>
    </row>
    <row r="394" ht="12.75" customHeight="1">
      <c r="A394" s="848"/>
      <c r="B394" s="848"/>
      <c r="C394" s="848"/>
      <c r="D394" s="848"/>
      <c r="E394" s="848"/>
      <c r="F394" s="848"/>
      <c r="G394" s="848"/>
      <c r="H394" s="848"/>
      <c r="I394" s="848"/>
      <c r="J394" s="848"/>
      <c r="K394" s="848"/>
      <c r="L394" s="848"/>
      <c r="M394" s="848"/>
      <c r="N394" s="848"/>
      <c r="O394" s="848"/>
      <c r="P394" s="848"/>
      <c r="Q394" s="848"/>
      <c r="AN394" s="1957"/>
      <c r="AO394" s="1957"/>
      <c r="AP394" s="1957"/>
      <c r="AQ394" s="1957"/>
      <c r="AR394" s="1957"/>
      <c r="AS394" s="1957"/>
      <c r="AT394" s="1957"/>
      <c r="AU394" s="1957"/>
      <c r="AV394" s="1957"/>
      <c r="AW394" s="1957"/>
      <c r="AX394" s="1957"/>
      <c r="AY394" s="1957"/>
      <c r="AZ394" s="1957"/>
      <c r="BA394" s="1957"/>
      <c r="BB394" s="1957"/>
    </row>
    <row r="395" ht="12.75" customHeight="1">
      <c r="A395" s="2286">
        <v>0.7637499999999999</v>
      </c>
      <c r="F395" s="2287" t="str">
        <f>+'Analisis Avance O.'!O99</f>
        <v>#REF!</v>
      </c>
      <c r="O395" s="848"/>
      <c r="P395" s="848"/>
      <c r="Q395" s="848"/>
      <c r="AN395" s="1957"/>
      <c r="AO395" s="1957"/>
      <c r="AP395" s="1957"/>
      <c r="AQ395" s="1957"/>
      <c r="AR395" s="1957"/>
      <c r="AS395" s="1957"/>
      <c r="AT395" s="1957"/>
      <c r="AU395" s="1957"/>
      <c r="AV395" s="1957"/>
      <c r="AW395" s="1957"/>
      <c r="AX395" s="1957"/>
      <c r="AY395" s="1957"/>
      <c r="AZ395" s="1957"/>
      <c r="BA395" s="1957"/>
      <c r="BB395" s="1957"/>
    </row>
    <row r="396" ht="12.75" customHeight="1">
      <c r="A396" s="848"/>
      <c r="B396" s="848"/>
      <c r="C396" s="856" t="s">
        <v>302</v>
      </c>
      <c r="D396" s="856"/>
      <c r="E396" s="848"/>
      <c r="F396" s="848"/>
      <c r="G396" s="848"/>
      <c r="H396" s="848"/>
      <c r="I396" s="848"/>
      <c r="J396" s="848"/>
      <c r="K396" s="848"/>
      <c r="L396" s="848"/>
      <c r="M396" s="848"/>
      <c r="N396" s="848"/>
      <c r="O396" s="848"/>
      <c r="P396" s="848"/>
      <c r="Q396" s="848"/>
      <c r="AN396" s="1957"/>
      <c r="AO396" s="1957"/>
      <c r="AP396" s="1957"/>
      <c r="AQ396" s="1957"/>
      <c r="AR396" s="1957"/>
      <c r="AS396" s="1957"/>
      <c r="AT396" s="1957"/>
      <c r="AU396" s="1957"/>
      <c r="AV396" s="1957"/>
      <c r="AW396" s="1957"/>
      <c r="AX396" s="1957"/>
      <c r="AY396" s="1957"/>
      <c r="AZ396" s="1957"/>
      <c r="BA396" s="1957"/>
      <c r="BB396" s="1957"/>
    </row>
    <row r="397" ht="12.75" customHeight="1">
      <c r="AN397" s="1957"/>
      <c r="AO397" s="1957"/>
      <c r="AP397" s="1957"/>
      <c r="AQ397" s="1957"/>
      <c r="AR397" s="1957"/>
      <c r="AS397" s="1957"/>
      <c r="AT397" s="1957"/>
      <c r="AU397" s="1957"/>
      <c r="AV397" s="1957"/>
      <c r="AW397" s="1957"/>
      <c r="AX397" s="1957"/>
      <c r="AY397" s="1957"/>
      <c r="AZ397" s="1957"/>
      <c r="BA397" s="1957"/>
      <c r="BB397" s="1957"/>
    </row>
    <row r="398" ht="12.75" customHeight="1">
      <c r="AN398" s="1957"/>
      <c r="AO398" s="1957"/>
      <c r="AP398" s="1957"/>
      <c r="AQ398" s="1957"/>
      <c r="AR398" s="1957"/>
      <c r="AS398" s="1957"/>
      <c r="AT398" s="1957"/>
      <c r="AU398" s="1957"/>
      <c r="AV398" s="1957"/>
      <c r="AW398" s="1957"/>
      <c r="AX398" s="1957"/>
      <c r="AY398" s="1957"/>
      <c r="AZ398" s="1957"/>
      <c r="BA398" s="1957"/>
      <c r="BB398" s="1957"/>
    </row>
    <row r="399" ht="12.75" customHeight="1">
      <c r="AN399" s="1957"/>
      <c r="AO399" s="1957"/>
      <c r="AP399" s="1957"/>
      <c r="AQ399" s="1957"/>
      <c r="AR399" s="1957"/>
      <c r="AS399" s="1957"/>
      <c r="AT399" s="1957"/>
      <c r="AU399" s="1957"/>
      <c r="AV399" s="1957"/>
      <c r="AW399" s="1957"/>
      <c r="AX399" s="1957"/>
      <c r="AY399" s="1957"/>
      <c r="AZ399" s="1957"/>
      <c r="BA399" s="1957"/>
      <c r="BB399" s="1957"/>
    </row>
    <row r="400" ht="12.75" customHeight="1">
      <c r="AN400" s="1957"/>
      <c r="AO400" s="1957"/>
      <c r="AP400" s="1957"/>
      <c r="AQ400" s="1957"/>
      <c r="AR400" s="1957"/>
      <c r="AS400" s="1957"/>
      <c r="AT400" s="1957"/>
      <c r="AU400" s="1957"/>
      <c r="AV400" s="1957"/>
      <c r="AW400" s="1957"/>
      <c r="AX400" s="1957"/>
      <c r="AY400" s="1957"/>
      <c r="AZ400" s="1957"/>
      <c r="BA400" s="1957"/>
      <c r="BB400" s="1957"/>
    </row>
    <row r="401" ht="12.75" customHeight="1">
      <c r="AN401" s="1957"/>
      <c r="AO401" s="1957"/>
      <c r="AP401" s="1957"/>
      <c r="AQ401" s="1957"/>
      <c r="AR401" s="1957"/>
      <c r="AS401" s="1957"/>
      <c r="AT401" s="1957"/>
      <c r="AU401" s="1957"/>
      <c r="AV401" s="1957"/>
      <c r="AW401" s="1957"/>
      <c r="AX401" s="1957"/>
      <c r="AY401" s="1957"/>
      <c r="AZ401" s="1957"/>
      <c r="BA401" s="1957"/>
      <c r="BB401" s="1957"/>
    </row>
    <row r="402" ht="12.75" customHeight="1">
      <c r="F402" s="34"/>
      <c r="G402" s="34"/>
      <c r="AN402" s="1957"/>
      <c r="AO402" s="1957"/>
      <c r="AP402" s="1776" t="s">
        <v>680</v>
      </c>
      <c r="AQ402" s="1777" t="s">
        <v>759</v>
      </c>
      <c r="AR402" s="1957"/>
      <c r="AS402" s="1957"/>
      <c r="AT402" s="1957"/>
      <c r="AU402" s="1957"/>
      <c r="AV402" s="1957"/>
      <c r="AW402" s="1957"/>
      <c r="AX402" s="1957"/>
      <c r="AY402" s="1957"/>
      <c r="AZ402" s="1957"/>
      <c r="BA402" s="1957"/>
      <c r="BB402" s="1957"/>
    </row>
    <row r="403" ht="12.75" customHeight="1">
      <c r="F403" s="857"/>
      <c r="AN403" s="1957"/>
      <c r="AO403" s="1957"/>
      <c r="AP403" s="1957"/>
      <c r="AQ403" s="1957"/>
      <c r="AR403" s="1957"/>
      <c r="AS403" s="1957"/>
      <c r="AT403" s="1957"/>
      <c r="AU403" s="1957"/>
      <c r="AV403" s="1957"/>
      <c r="AW403" s="1957"/>
      <c r="AX403" s="1957"/>
      <c r="AY403" s="1957"/>
      <c r="AZ403" s="1957"/>
      <c r="BA403" s="1957"/>
      <c r="BB403" s="1957"/>
    </row>
    <row r="404" ht="12.75" customHeight="1">
      <c r="AN404" s="1957"/>
      <c r="AO404" s="1957"/>
      <c r="AP404" s="1957"/>
      <c r="AQ404" s="1957"/>
      <c r="AR404" s="1957"/>
      <c r="AS404" s="1957"/>
      <c r="AT404" s="1957"/>
      <c r="AU404" s="1957"/>
      <c r="AV404" s="1957"/>
      <c r="AW404" s="1957"/>
      <c r="AX404" s="1957"/>
      <c r="AY404" s="1957"/>
      <c r="AZ404" s="1957"/>
      <c r="BA404" s="1957"/>
      <c r="BB404" s="1957"/>
    </row>
    <row r="405" ht="12.75" customHeight="1">
      <c r="L405" s="2288"/>
      <c r="AN405" s="1957"/>
      <c r="AO405" s="1957"/>
      <c r="AP405" s="1957"/>
      <c r="AQ405" s="1957"/>
      <c r="AR405" s="1957"/>
      <c r="AS405" s="1957"/>
      <c r="AT405" s="1957"/>
      <c r="AU405" s="1957"/>
      <c r="AV405" s="1957"/>
      <c r="AW405" s="1957"/>
      <c r="AX405" s="1957"/>
      <c r="AY405" s="1957"/>
      <c r="AZ405" s="1957"/>
      <c r="BA405" s="1957"/>
      <c r="BB405" s="1957"/>
    </row>
    <row r="406" ht="12.75" customHeight="1">
      <c r="AN406" s="1957"/>
      <c r="AO406" s="1957"/>
      <c r="AP406" s="1957"/>
      <c r="AQ406" s="1957"/>
      <c r="AR406" s="1957"/>
      <c r="AS406" s="1957"/>
      <c r="AT406" s="1957"/>
      <c r="AU406" s="1957"/>
      <c r="AV406" s="1957"/>
      <c r="AW406" s="1957"/>
      <c r="AX406" s="1957"/>
      <c r="AY406" s="1957"/>
      <c r="AZ406" s="1957"/>
      <c r="BA406" s="1957"/>
      <c r="BB406" s="1957"/>
    </row>
    <row r="407" ht="12.75" customHeight="1">
      <c r="AN407" s="1957"/>
      <c r="AO407" s="1957"/>
      <c r="AP407" s="1957"/>
      <c r="AQ407" s="1957"/>
      <c r="AR407" s="1957"/>
      <c r="AS407" s="1957"/>
      <c r="AT407" s="1957"/>
      <c r="AU407" s="1957"/>
      <c r="AV407" s="1957"/>
      <c r="AW407" s="1957"/>
      <c r="AX407" s="1957"/>
      <c r="AY407" s="1957"/>
      <c r="AZ407" s="1957"/>
      <c r="BA407" s="1957"/>
      <c r="BB407" s="1957"/>
    </row>
    <row r="408" ht="12.75" customHeight="1">
      <c r="AN408" s="1957"/>
      <c r="AO408" s="1957"/>
      <c r="AP408" s="1957"/>
      <c r="AQ408" s="1957"/>
      <c r="AR408" s="1957"/>
      <c r="AS408" s="1957"/>
      <c r="AT408" s="1957"/>
      <c r="AU408" s="1957"/>
      <c r="AV408" s="1957"/>
      <c r="AW408" s="1957"/>
      <c r="AX408" s="1957"/>
      <c r="AY408" s="1957"/>
      <c r="AZ408" s="1957"/>
      <c r="BA408" s="1957"/>
      <c r="BB408" s="1957"/>
    </row>
    <row r="409" ht="12.75" customHeight="1">
      <c r="AN409" s="1957"/>
      <c r="AO409" s="1957"/>
      <c r="AP409" s="1957"/>
      <c r="AQ409" s="1957"/>
      <c r="AR409" s="1957"/>
      <c r="AS409" s="1957"/>
      <c r="AT409" s="1957"/>
      <c r="AU409" s="1957"/>
      <c r="AV409" s="1957"/>
      <c r="AW409" s="1957"/>
      <c r="AX409" s="1957"/>
      <c r="AY409" s="1957"/>
      <c r="AZ409" s="1957"/>
      <c r="BA409" s="1957"/>
      <c r="BB409" s="1957"/>
    </row>
    <row r="410" ht="12.75" customHeight="1">
      <c r="AN410" s="1957"/>
      <c r="AO410" s="1957"/>
      <c r="AP410" s="1957"/>
      <c r="AQ410" s="1957"/>
      <c r="AR410" s="1957"/>
      <c r="AS410" s="1957"/>
      <c r="AT410" s="1957"/>
      <c r="AU410" s="1957"/>
      <c r="AV410" s="1957"/>
      <c r="AW410" s="1957"/>
      <c r="AX410" s="1957"/>
      <c r="AY410" s="1957"/>
      <c r="AZ410" s="1957"/>
      <c r="BA410" s="1957"/>
      <c r="BB410" s="1957"/>
    </row>
    <row r="411" ht="12.75" customHeight="1">
      <c r="A411" s="1781"/>
      <c r="B411" s="1781"/>
      <c r="C411" s="1781"/>
      <c r="D411" s="1781"/>
      <c r="E411" s="1781"/>
      <c r="F411" s="1781"/>
      <c r="G411" s="1781"/>
      <c r="H411" s="1781"/>
      <c r="I411" s="1781"/>
      <c r="J411" s="1781"/>
      <c r="K411" s="1781"/>
      <c r="L411" s="1781"/>
      <c r="M411" s="1781"/>
      <c r="N411" s="1781"/>
      <c r="O411" s="1781"/>
      <c r="P411" s="1781"/>
      <c r="Q411" s="1781"/>
      <c r="R411" s="1781"/>
      <c r="S411" s="1781"/>
      <c r="T411" s="1781"/>
      <c r="U411" s="1781"/>
      <c r="V411" s="1781"/>
      <c r="W411" s="1781"/>
      <c r="X411" s="1781"/>
      <c r="Y411" s="1781"/>
      <c r="Z411" s="1781"/>
      <c r="AA411" s="1781"/>
      <c r="AB411" s="1781"/>
      <c r="AC411" s="1781"/>
      <c r="AD411" s="1781"/>
      <c r="AE411" s="1781"/>
      <c r="AF411" s="1781"/>
      <c r="AG411" s="1781"/>
      <c r="AH411" s="1781"/>
      <c r="AI411" s="1781"/>
      <c r="AJ411" s="1781"/>
      <c r="AK411" s="1781"/>
      <c r="AL411" s="1781"/>
      <c r="AM411" s="1781"/>
      <c r="AN411" s="1957"/>
      <c r="AO411" s="1957"/>
      <c r="AP411" s="1957"/>
      <c r="AQ411" s="1957"/>
      <c r="AR411" s="1957"/>
      <c r="AS411" s="1957"/>
      <c r="AT411" s="1957"/>
      <c r="AU411" s="1957"/>
      <c r="AV411" s="1957"/>
      <c r="AW411" s="1957"/>
      <c r="AX411" s="1957"/>
      <c r="AY411" s="1957"/>
      <c r="AZ411" s="1957"/>
      <c r="BA411" s="1957"/>
      <c r="BB411" s="1957"/>
    </row>
    <row r="412" ht="12.75" customHeight="1">
      <c r="A412" s="1781"/>
      <c r="B412" s="1781"/>
      <c r="C412" s="1781"/>
      <c r="D412" s="1781"/>
      <c r="E412" s="1781"/>
      <c r="F412" s="1781"/>
      <c r="G412" s="1781"/>
      <c r="H412" s="1781"/>
      <c r="I412" s="1781"/>
      <c r="J412" s="1781"/>
      <c r="K412" s="1781"/>
      <c r="L412" s="1781"/>
      <c r="M412" s="1781"/>
      <c r="N412" s="1781"/>
      <c r="O412" s="1781"/>
      <c r="P412" s="1781"/>
      <c r="Q412" s="1781"/>
      <c r="R412" s="1781"/>
      <c r="S412" s="1781"/>
      <c r="T412" s="1781"/>
      <c r="U412" s="1781"/>
      <c r="V412" s="1781"/>
      <c r="W412" s="1781"/>
      <c r="X412" s="1781"/>
      <c r="Y412" s="1781"/>
      <c r="Z412" s="1781"/>
      <c r="AA412" s="1781"/>
      <c r="AB412" s="1781"/>
      <c r="AC412" s="1781"/>
      <c r="AD412" s="1781"/>
      <c r="AE412" s="1781"/>
      <c r="AF412" s="1781"/>
      <c r="AG412" s="1781"/>
      <c r="AH412" s="1781"/>
      <c r="AI412" s="1781"/>
      <c r="AJ412" s="1781"/>
      <c r="AK412" s="1781"/>
      <c r="AL412" s="1781"/>
      <c r="AM412" s="1781"/>
      <c r="AN412" s="1957"/>
      <c r="AO412" s="1957"/>
      <c r="AP412" s="1957"/>
      <c r="AQ412" s="1957"/>
      <c r="AR412" s="1957"/>
      <c r="AS412" s="1957"/>
      <c r="AT412" s="1957"/>
      <c r="AU412" s="1957"/>
      <c r="AV412" s="1957"/>
      <c r="AW412" s="1957"/>
      <c r="AX412" s="1957"/>
      <c r="AY412" s="1957"/>
      <c r="AZ412" s="1957"/>
      <c r="BA412" s="1957"/>
      <c r="BB412" s="1957"/>
    </row>
    <row r="413" ht="12.75" customHeight="1">
      <c r="A413" s="1781"/>
      <c r="B413" s="1781"/>
      <c r="C413" s="1781"/>
      <c r="D413" s="1781"/>
      <c r="E413" s="1781"/>
      <c r="F413" s="1781"/>
      <c r="G413" s="1781"/>
      <c r="H413" s="1781"/>
      <c r="I413" s="1781"/>
      <c r="J413" s="1781"/>
      <c r="K413" s="1781"/>
      <c r="L413" s="1781"/>
      <c r="M413" s="1781"/>
      <c r="N413" s="1781"/>
      <c r="O413" s="1781"/>
      <c r="P413" s="1781"/>
      <c r="Q413" s="1781"/>
      <c r="R413" s="1781"/>
      <c r="S413" s="1781"/>
      <c r="T413" s="1781"/>
      <c r="U413" s="1781"/>
      <c r="V413" s="1781"/>
      <c r="W413" s="1781"/>
      <c r="X413" s="1781"/>
      <c r="Y413" s="1781"/>
      <c r="Z413" s="1781"/>
      <c r="AA413" s="1781"/>
      <c r="AB413" s="1781"/>
      <c r="AC413" s="1781"/>
      <c r="AD413" s="1781"/>
      <c r="AE413" s="1781"/>
      <c r="AF413" s="1781"/>
      <c r="AG413" s="1781"/>
      <c r="AH413" s="1781"/>
      <c r="AI413" s="1781"/>
      <c r="AJ413" s="1781"/>
      <c r="AK413" s="1781"/>
      <c r="AL413" s="1781"/>
      <c r="AM413" s="1781"/>
      <c r="AN413" s="1957"/>
      <c r="AO413" s="1957"/>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289" t="str">
        <f>(BD413-BF413)/10</f>
        <v>#DIV/0!</v>
      </c>
      <c r="BF413" s="861" t="str">
        <f>IF(AP415-BC413&gt;0,(AP415-BC413)*100,"00")</f>
        <v>#DIV/0!</v>
      </c>
      <c r="BG413" s="2289"/>
      <c r="BH413" s="63"/>
      <c r="BI413" s="63"/>
      <c r="BJ413" s="63"/>
      <c r="BK413" s="63"/>
      <c r="BL413" s="63"/>
      <c r="BM413" s="63"/>
      <c r="BN413" s="63"/>
      <c r="BO413" s="63"/>
      <c r="BP413" s="63"/>
    </row>
    <row r="414" ht="12.75" customHeight="1">
      <c r="B414" s="1781"/>
      <c r="C414" s="1781"/>
      <c r="G414" s="1782" t="s">
        <v>682</v>
      </c>
      <c r="H414" s="1781"/>
      <c r="I414" s="1781"/>
      <c r="J414" s="1781"/>
      <c r="K414" s="1781"/>
      <c r="L414" s="1781"/>
      <c r="M414" s="1781"/>
      <c r="N414" s="1781"/>
      <c r="O414" s="1781"/>
      <c r="P414" s="1781"/>
      <c r="Q414" s="1781"/>
      <c r="T414" s="942"/>
      <c r="U414" s="1781"/>
      <c r="W414" s="1781"/>
      <c r="X414" s="1781"/>
      <c r="Y414" s="1781"/>
      <c r="AA414" s="1782" t="s">
        <v>683</v>
      </c>
      <c r="AB414" s="1781"/>
      <c r="AC414" s="1781"/>
      <c r="AD414" s="1781"/>
      <c r="AE414" s="1781"/>
      <c r="AF414" s="1781"/>
      <c r="AG414" s="1781"/>
      <c r="AH414" s="1781"/>
      <c r="AI414" s="1781"/>
      <c r="AJ414" s="1781"/>
      <c r="AK414" s="1781"/>
      <c r="AL414" s="1781"/>
      <c r="AM414" s="1781"/>
      <c r="AN414" s="1957"/>
      <c r="AO414" s="1957"/>
      <c r="AP414" s="63"/>
      <c r="AQ414" s="63"/>
      <c r="AR414" s="865" t="str">
        <f>AR413/10000000</f>
        <v>#DIV/0!</v>
      </c>
      <c r="AS414" s="865"/>
      <c r="AT414" s="1377" t="str">
        <f>ROUND((AT413-AR413)/1000000,1)</f>
        <v>#DIV/0!</v>
      </c>
      <c r="AU414" s="1378" t="str">
        <f>ROUND((AU413-AT413)/100000,1)</f>
        <v>#DIV/0!</v>
      </c>
      <c r="AV414" s="1379"/>
      <c r="AW414" s="1378" t="str">
        <f>ROUND((AW413-AU413)/10000, 1)</f>
        <v>#DIV/0!</v>
      </c>
      <c r="AX414" s="1378" t="str">
        <f>ROUND((AX413-AW413)/1000,1)</f>
        <v>#DIV/0!</v>
      </c>
      <c r="AY414" s="1380"/>
      <c r="AZ414" s="1378" t="str">
        <f>ROUND((AZ413-AX413)/100,1)</f>
        <v>#DIV/0!</v>
      </c>
      <c r="BA414" s="1378"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290" t="str">
        <f t="shared" ref="A415:A421" si="58">IF(C415&lt;&gt;"", ROW()-341, "")
</f>
        <v/>
      </c>
      <c r="B415" s="1781"/>
      <c r="C415" s="1781"/>
      <c r="T415" s="2290" t="str">
        <f t="shared" ref="T415:T421" si="59">IF(V415&lt;&gt;"", ROW()-341, "")
</f>
        <v/>
      </c>
      <c r="V415" s="1781"/>
      <c r="AL415" s="2291"/>
      <c r="AM415" s="1781"/>
      <c r="AN415" s="1957"/>
      <c r="AO415" s="1957"/>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290" t="str">
        <f t="shared" si="58"/>
        <v/>
      </c>
      <c r="B416" s="1781"/>
      <c r="C416" s="1781"/>
      <c r="T416" s="2290" t="str">
        <f t="shared" si="59"/>
        <v/>
      </c>
      <c r="V416" s="1781"/>
      <c r="AL416" s="2291"/>
      <c r="AM416" s="1781"/>
      <c r="AN416" s="1957"/>
      <c r="AO416" s="1957"/>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290" t="str">
        <f t="shared" si="58"/>
        <v/>
      </c>
      <c r="B417" s="1781"/>
      <c r="C417" s="1781"/>
      <c r="T417" s="2290" t="str">
        <f t="shared" si="59"/>
        <v/>
      </c>
      <c r="V417" s="1781"/>
      <c r="AL417" s="2291"/>
      <c r="AM417" s="1781"/>
      <c r="AN417" s="1957"/>
      <c r="AO417" s="1957"/>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290" t="str">
        <f t="shared" si="58"/>
        <v/>
      </c>
      <c r="B418" s="1781"/>
      <c r="C418" s="1781"/>
      <c r="T418" s="2290" t="str">
        <f t="shared" si="59"/>
        <v/>
      </c>
      <c r="V418" s="1781"/>
      <c r="AL418" s="2291"/>
      <c r="AM418" s="1781"/>
      <c r="AN418" s="1957"/>
      <c r="AO418" s="1957"/>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290" t="str">
        <f t="shared" si="58"/>
        <v/>
      </c>
      <c r="B419" s="1781"/>
      <c r="C419" s="1781"/>
      <c r="T419" s="2290" t="str">
        <f t="shared" si="59"/>
        <v/>
      </c>
      <c r="V419" s="1781"/>
      <c r="AL419" s="2291"/>
      <c r="AM419" s="1781"/>
      <c r="AN419" s="1957"/>
      <c r="AO419" s="1957"/>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290" t="str">
        <f t="shared" si="58"/>
        <v/>
      </c>
      <c r="B420" s="1781"/>
      <c r="C420" s="1781"/>
      <c r="T420" s="2290" t="str">
        <f t="shared" si="59"/>
        <v/>
      </c>
      <c r="V420" s="1781"/>
      <c r="AL420" s="2291"/>
      <c r="AM420" s="1781"/>
      <c r="AN420" s="1957"/>
      <c r="AO420" s="1957"/>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290" t="str">
        <f t="shared" si="58"/>
        <v/>
      </c>
      <c r="B421" s="1781"/>
      <c r="C421" s="1781"/>
      <c r="T421" s="2290" t="str">
        <f t="shared" si="59"/>
        <v/>
      </c>
      <c r="V421" s="1781"/>
      <c r="AL421" s="2291"/>
      <c r="AM421" s="1781"/>
      <c r="AN421" s="1957"/>
      <c r="AO421" s="1957"/>
      <c r="AP421" s="871"/>
      <c r="AQ421" s="871"/>
      <c r="AR421" s="872" t="s">
        <v>305</v>
      </c>
      <c r="AS421" s="873"/>
      <c r="AT421" s="873" t="s">
        <v>306</v>
      </c>
      <c r="AU421" s="873" t="s">
        <v>306</v>
      </c>
      <c r="AV421" s="873"/>
      <c r="AW421" s="873" t="s">
        <v>307</v>
      </c>
      <c r="AX421" s="874"/>
      <c r="AY421" s="871"/>
      <c r="AZ421" s="875" t="s">
        <v>308</v>
      </c>
      <c r="BA421" s="875" t="s">
        <v>309</v>
      </c>
      <c r="BB421" s="875"/>
      <c r="BC421" s="875" t="s">
        <v>310</v>
      </c>
      <c r="BD421" s="875" t="s">
        <v>311</v>
      </c>
      <c r="BE421" s="875"/>
      <c r="BF421" s="875" t="s">
        <v>312</v>
      </c>
      <c r="BG421" s="875"/>
      <c r="BH421" s="875"/>
      <c r="BI421" s="875" t="s">
        <v>313</v>
      </c>
      <c r="BJ421" s="875"/>
      <c r="BK421" s="875"/>
      <c r="BL421" s="875"/>
      <c r="BM421" s="875" t="s">
        <v>314</v>
      </c>
      <c r="BN421" s="875"/>
      <c r="BO421" s="875"/>
      <c r="BP421" s="875" t="s">
        <v>315</v>
      </c>
    </row>
    <row r="422" ht="12.75" customHeight="1">
      <c r="A422" s="1782" t="s">
        <v>684</v>
      </c>
      <c r="B422" s="1781"/>
      <c r="C422" s="1781"/>
      <c r="D422" s="1781"/>
      <c r="E422" s="1781"/>
      <c r="F422" s="1781"/>
      <c r="G422" s="1781"/>
      <c r="H422" s="1781"/>
      <c r="I422" s="1781"/>
      <c r="J422" s="1781"/>
      <c r="K422" s="1781"/>
      <c r="L422" s="1781"/>
      <c r="M422" s="1781"/>
      <c r="N422" s="1781"/>
      <c r="O422" s="1781"/>
      <c r="P422" s="1781"/>
      <c r="Q422" s="1781"/>
      <c r="R422" s="1781"/>
      <c r="T422" s="1781"/>
      <c r="V422" s="1781"/>
      <c r="AL422" s="2291"/>
      <c r="AM422" s="1781"/>
      <c r="AN422" s="1957"/>
      <c r="AO422" s="1957"/>
      <c r="AP422" s="879">
        <v>1.0</v>
      </c>
      <c r="AQ422" s="880"/>
      <c r="AR422" s="881" t="s">
        <v>316</v>
      </c>
      <c r="AS422" s="881"/>
      <c r="AT422" s="881" t="s">
        <v>317</v>
      </c>
      <c r="AU422" s="881" t="s">
        <v>318</v>
      </c>
      <c r="AV422" s="881"/>
      <c r="AW422" s="881" t="s">
        <v>319</v>
      </c>
      <c r="AX422" s="882" t="s">
        <v>320</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292" t="s">
        <v>760</v>
      </c>
      <c r="AM423" s="1781"/>
      <c r="AN423" s="1957"/>
      <c r="AO423" s="1957"/>
      <c r="AP423" s="885">
        <v>2.0</v>
      </c>
      <c r="AQ423" s="886"/>
      <c r="AR423" s="887" t="s">
        <v>321</v>
      </c>
      <c r="AS423" s="887"/>
      <c r="AT423" s="887" t="s">
        <v>322</v>
      </c>
      <c r="AU423" s="887" t="s">
        <v>323</v>
      </c>
      <c r="AV423" s="887"/>
      <c r="AW423" s="887" t="s">
        <v>324</v>
      </c>
      <c r="AX423" s="888" t="s">
        <v>325</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1781"/>
      <c r="AN424" s="1957"/>
      <c r="AO424" s="1957"/>
      <c r="AP424" s="885">
        <v>3.0</v>
      </c>
      <c r="AQ424" s="886"/>
      <c r="AR424" s="887" t="s">
        <v>326</v>
      </c>
      <c r="AS424" s="887"/>
      <c r="AT424" s="887" t="s">
        <v>327</v>
      </c>
      <c r="AU424" s="887" t="s">
        <v>328</v>
      </c>
      <c r="AV424" s="887"/>
      <c r="AW424" s="887" t="s">
        <v>329</v>
      </c>
      <c r="AX424" s="888" t="s">
        <v>330</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1781"/>
      <c r="AN425" s="1957"/>
      <c r="AO425" s="1957"/>
      <c r="AP425" s="885">
        <v>4.0</v>
      </c>
      <c r="AQ425" s="886"/>
      <c r="AR425" s="887" t="s">
        <v>331</v>
      </c>
      <c r="AS425" s="887"/>
      <c r="AT425" s="887" t="s">
        <v>332</v>
      </c>
      <c r="AU425" s="887" t="s">
        <v>333</v>
      </c>
      <c r="AV425" s="887"/>
      <c r="AW425" s="887" t="s">
        <v>334</v>
      </c>
      <c r="AX425" s="888" t="s">
        <v>335</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1781"/>
      <c r="AN426" s="1957"/>
      <c r="AO426" s="1957"/>
      <c r="AP426" s="885">
        <v>5.0</v>
      </c>
      <c r="AQ426" s="886"/>
      <c r="AR426" s="887" t="s">
        <v>336</v>
      </c>
      <c r="AS426" s="887"/>
      <c r="AT426" s="887" t="s">
        <v>337</v>
      </c>
      <c r="AU426" s="887" t="s">
        <v>338</v>
      </c>
      <c r="AV426" s="887"/>
      <c r="AW426" s="887" t="s">
        <v>339</v>
      </c>
      <c r="AX426" s="888" t="s">
        <v>340</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1781"/>
      <c r="AN427" s="1957"/>
      <c r="AO427" s="1957"/>
      <c r="AP427" s="885">
        <v>6.0</v>
      </c>
      <c r="AQ427" s="886"/>
      <c r="AR427" s="887" t="s">
        <v>341</v>
      </c>
      <c r="AS427" s="887"/>
      <c r="AT427" s="887" t="s">
        <v>342</v>
      </c>
      <c r="AU427" s="887" t="s">
        <v>343</v>
      </c>
      <c r="AV427" s="887"/>
      <c r="AW427" s="887" t="s">
        <v>344</v>
      </c>
      <c r="AX427" s="888" t="s">
        <v>345</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1781"/>
      <c r="AN428" s="1957"/>
      <c r="AO428" s="1957"/>
      <c r="AP428" s="885">
        <v>7.0</v>
      </c>
      <c r="AQ428" s="886"/>
      <c r="AR428" s="887" t="s">
        <v>346</v>
      </c>
      <c r="AS428" s="887"/>
      <c r="AT428" s="887" t="s">
        <v>347</v>
      </c>
      <c r="AU428" s="887" t="s">
        <v>343</v>
      </c>
      <c r="AV428" s="887"/>
      <c r="AW428" s="887" t="s">
        <v>348</v>
      </c>
      <c r="AX428" s="888" t="s">
        <v>349</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1781"/>
      <c r="AN429" s="1957"/>
      <c r="AO429" s="1957"/>
      <c r="AP429" s="885">
        <v>8.0</v>
      </c>
      <c r="AQ429" s="886"/>
      <c r="AR429" s="887" t="s">
        <v>350</v>
      </c>
      <c r="AS429" s="887"/>
      <c r="AT429" s="887" t="s">
        <v>351</v>
      </c>
      <c r="AU429" s="887" t="s">
        <v>343</v>
      </c>
      <c r="AV429" s="887"/>
      <c r="AW429" s="887" t="s">
        <v>352</v>
      </c>
      <c r="AX429" s="888" t="s">
        <v>353</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1781"/>
      <c r="AN430" s="1957"/>
      <c r="AO430" s="1957"/>
      <c r="AP430" s="885">
        <v>9.0</v>
      </c>
      <c r="AQ430" s="886"/>
      <c r="AR430" s="887" t="s">
        <v>354</v>
      </c>
      <c r="AS430" s="887"/>
      <c r="AT430" s="887" t="s">
        <v>355</v>
      </c>
      <c r="AU430" s="887" t="s">
        <v>343</v>
      </c>
      <c r="AV430" s="887"/>
      <c r="AW430" s="887" t="s">
        <v>356</v>
      </c>
      <c r="AX430" s="888" t="s">
        <v>357</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1781"/>
      <c r="AN431" s="1957"/>
      <c r="AO431" s="1957"/>
      <c r="AP431" s="889">
        <v>0.0</v>
      </c>
      <c r="AQ431" s="890"/>
      <c r="AR431" s="891" t="s">
        <v>104</v>
      </c>
      <c r="AS431" s="891"/>
      <c r="AT431" s="891" t="s">
        <v>104</v>
      </c>
      <c r="AU431" s="891" t="s">
        <v>343</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1781"/>
      <c r="AN432" s="1957"/>
      <c r="AO432" s="1957"/>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1781"/>
      <c r="AN433" s="1957"/>
      <c r="AO433" s="1957"/>
      <c r="AP433" s="63"/>
      <c r="AQ433" s="63"/>
      <c r="AR433" s="887" t="s">
        <v>358</v>
      </c>
      <c r="AS433" s="887"/>
      <c r="AT433" s="887" t="s">
        <v>359</v>
      </c>
      <c r="AU433" s="887" t="s">
        <v>360</v>
      </c>
      <c r="AV433" s="887"/>
      <c r="AW433" s="887" t="s">
        <v>361</v>
      </c>
      <c r="AX433" s="887" t="s">
        <v>362</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1781"/>
      <c r="AN434" s="1957"/>
      <c r="AO434" s="1957"/>
      <c r="AP434" s="1957"/>
      <c r="AQ434" s="1957"/>
      <c r="AR434" s="887" t="s">
        <v>358</v>
      </c>
      <c r="AS434" s="887"/>
      <c r="AT434" s="887" t="s">
        <v>363</v>
      </c>
      <c r="AU434" s="887" t="str">
        <f>IF(AND(AR414&gt;0,AT414&lt;2),AW434,IF(AND(AR414=1,AT414&lt;6),AW434,""))</f>
        <v>#DIV/0!</v>
      </c>
      <c r="AV434" s="887"/>
      <c r="AW434" s="887" t="s">
        <v>364</v>
      </c>
      <c r="AX434" s="887" t="str">
        <f>IF(AND(AT414&gt;0,AR414&gt;2),AX433,"")</f>
        <v>#DIV/0!</v>
      </c>
      <c r="AY434" s="871"/>
      <c r="AZ434" s="893" t="s">
        <v>365</v>
      </c>
      <c r="BA434" s="894" t="str">
        <f>CONCATENATE(AZ432,AX434,BA432,AU434,BC432,BD432,BE432,BF432,BH432,BI432,BM432,BN432,BP432,IF(AP415&gt;0,CONCATENATE(" PESOS ",BD414,"/100  M.N."),""))</f>
        <v>#DIV/0!</v>
      </c>
      <c r="BB434" s="894"/>
      <c r="BR434" s="884"/>
    </row>
    <row r="435" ht="12.75" customHeight="1">
      <c r="AM435" s="1781"/>
      <c r="AN435" s="1957"/>
      <c r="AO435" s="1957"/>
      <c r="AP435" s="1957"/>
      <c r="AQ435" s="1957"/>
      <c r="AR435" s="1957"/>
      <c r="AS435" s="1957"/>
      <c r="AT435" s="1957"/>
      <c r="AU435" s="1957"/>
      <c r="AV435" s="1957"/>
      <c r="AW435" s="1957"/>
      <c r="AX435" s="1957"/>
      <c r="AY435" s="1957"/>
      <c r="AZ435" s="1957"/>
      <c r="BA435" s="1957"/>
      <c r="BB435" s="1957"/>
      <c r="BR435" s="884"/>
    </row>
    <row r="436" ht="12.75" customHeight="1">
      <c r="AM436" s="1781"/>
      <c r="AN436" s="1957"/>
      <c r="AO436" s="1957"/>
      <c r="AP436" s="1957"/>
      <c r="AQ436" s="1957"/>
      <c r="AR436" s="1957"/>
      <c r="AS436" s="1957"/>
      <c r="AT436" s="1957"/>
      <c r="AU436" s="1957"/>
      <c r="AV436" s="1957"/>
      <c r="AW436" s="1957"/>
      <c r="AX436" s="1957"/>
      <c r="AY436" s="1957"/>
      <c r="AZ436" s="1957"/>
      <c r="BA436" s="1957"/>
      <c r="BB436" s="1957"/>
      <c r="BR436" s="884"/>
    </row>
    <row r="437" ht="12.75" customHeight="1">
      <c r="AM437" s="1781"/>
      <c r="AN437" s="1957"/>
      <c r="AO437" s="1957"/>
      <c r="AP437" s="1957"/>
      <c r="AQ437" s="1957"/>
      <c r="AR437" s="1957"/>
      <c r="AS437" s="1957"/>
      <c r="AT437" s="1957"/>
      <c r="AU437" s="1957"/>
      <c r="AV437" s="1957"/>
      <c r="AW437" s="1957"/>
      <c r="AX437" s="1957"/>
      <c r="AY437" s="1957"/>
      <c r="AZ437" s="1957"/>
      <c r="BA437" s="1957"/>
      <c r="BB437" s="1957"/>
      <c r="BR437" s="884"/>
    </row>
    <row r="438" ht="12.75" customHeight="1">
      <c r="AM438" s="1781"/>
      <c r="AN438" s="1957"/>
      <c r="AO438" s="1957"/>
      <c r="AP438" s="1957"/>
      <c r="AQ438" s="1957"/>
      <c r="AR438" s="1957"/>
      <c r="AS438" s="1957"/>
      <c r="AT438" s="1957"/>
      <c r="AU438" s="1957"/>
      <c r="AV438" s="1957"/>
      <c r="AW438" s="1957"/>
      <c r="AX438" s="1957"/>
      <c r="AY438" s="1957"/>
      <c r="AZ438" s="1957"/>
      <c r="BA438" s="1957"/>
      <c r="BB438" s="1957"/>
      <c r="BR438" s="884"/>
    </row>
    <row r="439" ht="12.75" customHeight="1">
      <c r="AM439" s="1781"/>
      <c r="AN439" s="1957"/>
      <c r="AO439" s="1957"/>
      <c r="AP439" s="1957"/>
      <c r="AQ439" s="1957"/>
      <c r="AR439" s="1957"/>
      <c r="AS439" s="1957"/>
      <c r="AT439" s="1957"/>
      <c r="AU439" s="1957"/>
      <c r="AV439" s="1957"/>
      <c r="AW439" s="1957"/>
      <c r="AX439" s="1957"/>
      <c r="AY439" s="1957"/>
      <c r="AZ439" s="1957"/>
      <c r="BA439" s="1957"/>
      <c r="BB439" s="1957"/>
      <c r="BR439" s="884"/>
    </row>
    <row r="440" ht="12.75" customHeight="1">
      <c r="AM440" s="1781"/>
      <c r="AN440" s="1957"/>
      <c r="AO440" s="1957"/>
      <c r="AP440" s="1957"/>
      <c r="AQ440" s="1957"/>
      <c r="AR440" s="1957"/>
      <c r="AS440" s="1957"/>
      <c r="AT440" s="1957"/>
      <c r="AU440" s="1957"/>
      <c r="AV440" s="1957"/>
      <c r="AW440" s="1957"/>
      <c r="AX440" s="1957"/>
      <c r="AY440" s="1957"/>
      <c r="AZ440" s="1957"/>
      <c r="BA440" s="1957"/>
      <c r="BB440" s="1957"/>
      <c r="BR440" s="884"/>
    </row>
    <row r="441" ht="12.75" customHeight="1">
      <c r="AM441" s="1781"/>
      <c r="AN441" s="1957"/>
      <c r="AO441" s="1957"/>
      <c r="AP441" s="1957"/>
      <c r="AQ441" s="1957"/>
      <c r="AR441" s="1957"/>
      <c r="AS441" s="1957"/>
      <c r="AT441" s="1957"/>
      <c r="AU441" s="1957"/>
      <c r="AV441" s="1957"/>
      <c r="AW441" s="1957"/>
      <c r="AX441" s="1957"/>
      <c r="AY441" s="1957"/>
      <c r="AZ441" s="1957"/>
      <c r="BA441" s="1957"/>
      <c r="BB441" s="1957"/>
      <c r="BR441" s="884"/>
    </row>
    <row r="442" ht="12.75" customHeight="1">
      <c r="AM442" s="1781"/>
      <c r="AN442" s="1957"/>
      <c r="AO442" s="1957"/>
      <c r="AP442" s="1957"/>
      <c r="AQ442" s="1957"/>
      <c r="AR442" s="1957"/>
      <c r="AS442" s="1957"/>
      <c r="AT442" s="1957"/>
      <c r="AU442" s="1957"/>
      <c r="AV442" s="1957"/>
      <c r="AW442" s="1957"/>
      <c r="AX442" s="1957"/>
      <c r="AY442" s="1957"/>
      <c r="AZ442" s="1957"/>
      <c r="BA442" s="1957"/>
      <c r="BB442" s="1957"/>
      <c r="BR442" s="884"/>
    </row>
    <row r="443" ht="12.75" customHeight="1">
      <c r="AM443" s="1781"/>
      <c r="AN443" s="1957"/>
      <c r="AO443" s="1957"/>
      <c r="AP443" s="1957"/>
      <c r="AQ443" s="1957"/>
      <c r="AR443" s="1957"/>
      <c r="AS443" s="1957"/>
      <c r="AT443" s="1957"/>
      <c r="AU443" s="1957"/>
      <c r="AV443" s="1957"/>
      <c r="AW443" s="1957"/>
      <c r="AX443" s="1957"/>
      <c r="AY443" s="1957"/>
      <c r="AZ443" s="1957"/>
      <c r="BA443" s="1957"/>
      <c r="BB443" s="1957"/>
      <c r="BR443" s="884"/>
    </row>
    <row r="444" ht="12.75" customHeight="1">
      <c r="AM444" s="1781"/>
      <c r="AN444" s="1957"/>
      <c r="AO444" s="1957"/>
      <c r="AP444" s="1957"/>
      <c r="AQ444" s="1957"/>
      <c r="AR444" s="1957"/>
      <c r="AS444" s="1957"/>
      <c r="AT444" s="1957"/>
      <c r="AU444" s="1957"/>
      <c r="AV444" s="1957"/>
      <c r="AW444" s="1957"/>
      <c r="AX444" s="1957"/>
      <c r="AY444" s="1957"/>
      <c r="AZ444" s="1957"/>
      <c r="BA444" s="1957"/>
      <c r="BB444" s="1957"/>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6"/>
      <c r="AI1" s="30">
        <v>3.336320507E9</v>
      </c>
      <c r="AL1" s="27"/>
      <c r="AM1" s="27"/>
      <c r="AN1" s="1957"/>
      <c r="AO1" s="1957"/>
      <c r="AP1" s="1957"/>
      <c r="AQ1" s="1958"/>
      <c r="AR1" s="1957"/>
      <c r="AS1" s="1957"/>
      <c r="AT1" s="1957"/>
      <c r="AU1" s="1957"/>
      <c r="AV1" s="1957"/>
      <c r="AW1" s="1957"/>
      <c r="AX1" s="1957"/>
      <c r="AY1" s="1957"/>
      <c r="AZ1" s="1957"/>
      <c r="BA1" s="1957"/>
      <c r="BB1" s="1957"/>
    </row>
    <row r="2" ht="14.25" customHeight="1">
      <c r="A2" s="25"/>
      <c r="B2" s="25"/>
      <c r="C2" s="25"/>
      <c r="D2" s="25"/>
      <c r="E2" s="25"/>
      <c r="F2" s="25"/>
      <c r="G2" s="25"/>
      <c r="H2" s="25"/>
      <c r="I2" s="25"/>
      <c r="J2" s="25"/>
      <c r="K2" s="25"/>
      <c r="L2" s="25"/>
      <c r="M2" s="25"/>
      <c r="N2" s="25"/>
      <c r="O2" s="2293" t="s">
        <v>97</v>
      </c>
      <c r="AA2" s="25"/>
      <c r="AB2" s="25"/>
      <c r="AC2" s="25"/>
      <c r="AD2" s="35"/>
      <c r="AE2" s="36"/>
      <c r="AF2" s="37" t="s">
        <v>95</v>
      </c>
      <c r="AN2" s="1957"/>
      <c r="AO2" s="1957"/>
      <c r="AP2" s="1957"/>
      <c r="AQ2" s="1959"/>
      <c r="AR2" s="1957"/>
      <c r="AS2" s="1957"/>
      <c r="AT2" s="1957"/>
      <c r="AU2" s="1957"/>
      <c r="AV2" s="1957"/>
      <c r="AW2" s="1957"/>
      <c r="AX2" s="1957"/>
      <c r="AY2" s="1957"/>
      <c r="AZ2" s="1957"/>
      <c r="BA2" s="1957"/>
      <c r="BB2" s="1957"/>
    </row>
    <row r="3">
      <c r="A3" s="39"/>
      <c r="B3" s="39"/>
      <c r="C3" s="39"/>
      <c r="D3" s="39"/>
      <c r="E3" s="39"/>
      <c r="F3" s="39"/>
      <c r="G3" s="39"/>
      <c r="H3" s="39"/>
      <c r="I3" s="39"/>
      <c r="J3" s="39"/>
      <c r="K3" s="39"/>
      <c r="L3" s="39"/>
      <c r="M3" s="39"/>
      <c r="N3" s="39"/>
      <c r="AA3" s="40"/>
      <c r="AB3" s="40"/>
      <c r="AC3" s="40"/>
      <c r="AD3" s="35"/>
      <c r="AE3" s="36"/>
      <c r="AF3" s="37" t="s">
        <v>96</v>
      </c>
      <c r="AM3" s="41"/>
      <c r="AN3" s="1957"/>
      <c r="AO3" s="1957"/>
      <c r="AP3" s="1957"/>
      <c r="AQ3" s="1959"/>
      <c r="AR3" s="1957"/>
      <c r="AS3" s="1957"/>
      <c r="AT3" s="1957"/>
      <c r="AU3" s="1957"/>
      <c r="AV3" s="1957"/>
      <c r="AW3" s="1957"/>
      <c r="AX3" s="1957"/>
      <c r="AY3" s="1957"/>
      <c r="AZ3" s="1957"/>
      <c r="BA3" s="1957"/>
      <c r="BB3" s="1957"/>
    </row>
    <row r="4">
      <c r="A4" s="39"/>
      <c r="B4" s="39"/>
      <c r="C4" s="39"/>
      <c r="D4" s="39"/>
      <c r="E4" s="39"/>
      <c r="F4" s="39"/>
      <c r="G4" s="39"/>
      <c r="H4" s="39"/>
      <c r="I4" s="39"/>
      <c r="J4" s="39"/>
      <c r="K4" s="39"/>
      <c r="L4" s="39"/>
      <c r="M4" s="39"/>
      <c r="N4" s="39"/>
      <c r="O4" s="1384"/>
      <c r="P4" s="1384"/>
      <c r="Q4" s="1384"/>
      <c r="R4" s="1384"/>
      <c r="S4" s="1384"/>
      <c r="T4" s="1384"/>
      <c r="U4" s="1384"/>
      <c r="V4" s="1384"/>
      <c r="W4" s="1384"/>
      <c r="X4" s="1384"/>
      <c r="Y4" s="39"/>
      <c r="Z4" s="39"/>
      <c r="AA4" s="39"/>
      <c r="AB4" s="39"/>
      <c r="AC4" s="39"/>
      <c r="AD4" s="26"/>
      <c r="AE4" s="29"/>
      <c r="AF4" s="43" t="s">
        <v>98</v>
      </c>
      <c r="AN4" s="1957"/>
      <c r="AO4" s="1957"/>
      <c r="AP4" s="1957"/>
      <c r="AQ4" s="1959"/>
      <c r="AR4" s="1957"/>
      <c r="AS4" s="1957"/>
      <c r="AT4" s="1957"/>
      <c r="AU4" s="1957"/>
      <c r="AV4" s="1957"/>
      <c r="AW4" s="1957"/>
      <c r="AX4" s="1957"/>
      <c r="AY4" s="1957"/>
      <c r="AZ4" s="1957"/>
      <c r="BA4" s="1957"/>
      <c r="BB4" s="1957"/>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7"/>
      <c r="AO5" s="1957"/>
      <c r="AP5" s="1957"/>
      <c r="AQ5" s="1957"/>
      <c r="AR5" s="1957"/>
      <c r="AS5" s="1957"/>
      <c r="AT5" s="1957"/>
      <c r="AU5" s="1957"/>
      <c r="AV5" s="1957"/>
      <c r="AW5" s="1957"/>
      <c r="AX5" s="1957"/>
      <c r="AY5" s="1957"/>
      <c r="AZ5" s="1957"/>
      <c r="BA5" s="1957"/>
      <c r="BB5" s="1957"/>
    </row>
    <row r="6">
      <c r="A6" s="918" t="s">
        <v>568</v>
      </c>
      <c r="B6" s="44"/>
      <c r="E6" s="919" t="str">
        <f>Query_Formato!B168</f>
        <v>OPI-25-11-07-OF</v>
      </c>
      <c r="L6" s="45"/>
      <c r="M6" s="45"/>
      <c r="N6" s="45"/>
      <c r="O6" s="45"/>
      <c r="P6" s="45"/>
      <c r="Q6" s="45"/>
      <c r="R6" s="45"/>
      <c r="S6" s="45"/>
      <c r="T6" s="45"/>
      <c r="U6" s="45"/>
      <c r="V6" s="45"/>
      <c r="W6" s="45"/>
      <c r="X6" s="45"/>
      <c r="Y6" s="45"/>
      <c r="Z6" s="45"/>
      <c r="AB6" s="50"/>
      <c r="AC6" s="50"/>
      <c r="AF6" s="50" t="s">
        <v>99</v>
      </c>
      <c r="AG6" s="920">
        <f>TODAY()</f>
        <v>46202</v>
      </c>
      <c r="AM6" s="53"/>
      <c r="AN6" s="1957"/>
      <c r="AO6" s="1957"/>
      <c r="AP6" s="1957"/>
      <c r="AQ6" s="1957"/>
      <c r="AR6" s="1957"/>
      <c r="AS6" s="1957"/>
      <c r="AT6" s="1957"/>
      <c r="AU6" s="1957"/>
      <c r="AV6" s="1957"/>
      <c r="AW6" s="1957"/>
      <c r="AX6" s="1957"/>
      <c r="AY6" s="1957"/>
      <c r="AZ6" s="1957"/>
      <c r="BA6" s="1957"/>
      <c r="BB6" s="1957"/>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7"/>
      <c r="AO7" s="1957"/>
      <c r="AP7" s="1957"/>
      <c r="AQ7" s="1957"/>
      <c r="AR7" s="1957"/>
      <c r="AS7" s="1957"/>
      <c r="AT7" s="1957"/>
      <c r="AU7" s="1957"/>
      <c r="AV7" s="1957"/>
      <c r="AW7" s="1957"/>
      <c r="AX7" s="1957"/>
      <c r="AY7" s="1957"/>
      <c r="AZ7" s="1957"/>
      <c r="BA7" s="1957"/>
      <c r="BB7" s="1957"/>
    </row>
    <row r="8">
      <c r="A8" s="921" t="s">
        <v>569</v>
      </c>
      <c r="E8" s="57" t="str">
        <f>Query_Formato!B44</f>
        <v>Casa Habitación</v>
      </c>
      <c r="V8" s="67"/>
      <c r="W8" s="67"/>
      <c r="X8" s="67"/>
      <c r="Y8" s="55" t="s">
        <v>102</v>
      </c>
      <c r="Z8" s="68" t="str">
        <f>Query_Formato!B156</f>
        <v>Federico Arellano</v>
      </c>
      <c r="AN8" s="1960"/>
      <c r="AO8" s="1960"/>
      <c r="AP8" s="1957"/>
      <c r="AQ8" s="1959"/>
      <c r="AR8" s="1961"/>
      <c r="AS8" s="1957"/>
      <c r="AT8" s="1957"/>
      <c r="AU8" s="1957"/>
      <c r="AV8" s="1957"/>
      <c r="AW8" s="1957"/>
      <c r="AX8" s="1959"/>
      <c r="AY8" s="1957"/>
      <c r="AZ8" s="1957"/>
      <c r="BA8" s="1957"/>
      <c r="BB8" s="1957"/>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0"/>
      <c r="AO9" s="1960"/>
      <c r="AP9" s="1957"/>
      <c r="AQ9" s="1959"/>
      <c r="AR9" s="1961"/>
      <c r="AS9" s="1957"/>
      <c r="AT9" s="1957"/>
      <c r="AU9" s="1957"/>
      <c r="AV9" s="1957"/>
      <c r="AW9" s="1957"/>
      <c r="AX9" s="1959"/>
      <c r="AY9" s="1957"/>
      <c r="AZ9" s="1957"/>
      <c r="BA9" s="1957"/>
      <c r="BB9" s="1957"/>
    </row>
    <row r="10">
      <c r="A10" s="67" t="s">
        <v>101</v>
      </c>
      <c r="B10" s="55"/>
      <c r="C10" s="55"/>
      <c r="D10" s="55"/>
      <c r="E10" s="61" t="s">
        <v>761</v>
      </c>
      <c r="V10" s="67"/>
      <c r="W10" s="67"/>
      <c r="X10" s="67"/>
      <c r="Y10" s="55" t="s">
        <v>103</v>
      </c>
      <c r="Z10" s="57" t="s">
        <v>762</v>
      </c>
      <c r="AN10" s="1962"/>
      <c r="AO10" s="1962"/>
      <c r="AP10" s="1957"/>
      <c r="AQ10" s="1959"/>
      <c r="AR10" s="1961"/>
      <c r="AS10" s="1963"/>
      <c r="AT10" s="1963"/>
      <c r="AU10" s="1963"/>
      <c r="AV10" s="1963"/>
      <c r="AW10" s="1963"/>
      <c r="AX10" s="1959"/>
      <c r="AY10" s="1957"/>
      <c r="AZ10" s="1957"/>
      <c r="BA10" s="1957"/>
      <c r="BB10" s="1957"/>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2"/>
      <c r="AO11" s="1962"/>
      <c r="AP11" s="1957"/>
      <c r="AQ11" s="1959"/>
      <c r="AR11" s="1961"/>
      <c r="AS11" s="1957"/>
      <c r="AT11" s="1957"/>
      <c r="AU11" s="1957"/>
      <c r="AV11" s="1957"/>
      <c r="AW11" s="1957"/>
      <c r="AX11" s="1957"/>
      <c r="AY11" s="1957"/>
      <c r="AZ11" s="1957"/>
      <c r="BA11" s="1957"/>
      <c r="BB11" s="1957"/>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2"/>
      <c r="AO12" s="1962"/>
      <c r="AP12" s="1957"/>
      <c r="AQ12" s="1957"/>
      <c r="AR12" s="1957"/>
      <c r="AS12" s="1957"/>
      <c r="AT12" s="1957"/>
      <c r="AU12" s="1957"/>
      <c r="AV12" s="1957"/>
      <c r="AW12" s="1957"/>
      <c r="AX12" s="1957"/>
      <c r="AY12" s="1957"/>
      <c r="AZ12" s="1957"/>
      <c r="BA12" s="1957"/>
      <c r="BB12" s="1957"/>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2"/>
      <c r="AO13" s="1962"/>
      <c r="AP13" s="1957"/>
      <c r="AQ13" s="1957"/>
      <c r="AR13" s="1957"/>
      <c r="AS13" s="1957"/>
      <c r="AT13" s="1957"/>
      <c r="AU13" s="1957"/>
      <c r="AV13" s="1957"/>
      <c r="AW13" s="1957"/>
      <c r="AX13" s="1957"/>
      <c r="AY13" s="1957"/>
      <c r="AZ13" s="1957"/>
      <c r="BA13" s="1957"/>
      <c r="BB13" s="1957"/>
    </row>
    <row r="14" ht="12.75" customHeight="1">
      <c r="A14" s="927"/>
      <c r="S14" s="928"/>
      <c r="V14" s="927"/>
      <c r="AM14" s="928"/>
      <c r="AN14" s="1962"/>
      <c r="AO14" s="1962"/>
      <c r="AP14" s="1957"/>
      <c r="AQ14" s="1957"/>
      <c r="AR14" s="1957"/>
      <c r="AS14" s="1957"/>
      <c r="AT14" s="1957"/>
      <c r="AU14" s="1957"/>
      <c r="AV14" s="1957"/>
      <c r="AW14" s="1957"/>
      <c r="AX14" s="1957"/>
      <c r="AY14" s="1957"/>
      <c r="AZ14" s="1957"/>
      <c r="BA14" s="1957"/>
      <c r="BB14" s="1957"/>
    </row>
    <row r="15" ht="12.75" customHeight="1">
      <c r="A15" s="927"/>
      <c r="S15" s="928"/>
      <c r="V15" s="927"/>
      <c r="AM15" s="928"/>
      <c r="AN15" s="1962"/>
      <c r="AO15" s="1962"/>
      <c r="AP15" s="1957"/>
      <c r="AQ15" s="1957"/>
      <c r="AR15" s="1957"/>
      <c r="AS15" s="1957"/>
      <c r="AT15" s="1957"/>
      <c r="AU15" s="1957"/>
      <c r="AV15" s="1957"/>
      <c r="AW15" s="1957"/>
      <c r="AX15" s="1957"/>
      <c r="AY15" s="1957"/>
      <c r="AZ15" s="1957"/>
      <c r="BA15" s="1957"/>
      <c r="BB15" s="1957"/>
    </row>
    <row r="16" ht="12.75" customHeight="1">
      <c r="A16" s="927"/>
      <c r="S16" s="928"/>
      <c r="V16" s="927"/>
      <c r="AM16" s="928"/>
      <c r="AN16" s="1962"/>
      <c r="AO16" s="1962"/>
      <c r="AP16" s="1957"/>
      <c r="AQ16" s="1957"/>
      <c r="AR16" s="1957"/>
      <c r="AS16" s="1957"/>
      <c r="AT16" s="1957"/>
      <c r="AU16" s="1957"/>
      <c r="AV16" s="1957"/>
      <c r="AW16" s="1957"/>
      <c r="AX16" s="1957"/>
      <c r="AY16" s="1957"/>
      <c r="AZ16" s="1957"/>
      <c r="BA16" s="1957"/>
      <c r="BB16" s="1957"/>
    </row>
    <row r="17" ht="12.75" customHeight="1">
      <c r="A17" s="927"/>
      <c r="S17" s="928"/>
      <c r="V17" s="927"/>
      <c r="AM17" s="928"/>
      <c r="AN17" s="1962"/>
      <c r="AO17" s="1962"/>
      <c r="AP17" s="1957"/>
      <c r="AQ17" s="1957"/>
      <c r="AR17" s="1957"/>
      <c r="AS17" s="1957"/>
      <c r="AT17" s="1963"/>
      <c r="AZ17" s="1957"/>
      <c r="BA17" s="1957"/>
      <c r="BB17" s="1957"/>
    </row>
    <row r="18" ht="12.75" customHeight="1">
      <c r="A18" s="927"/>
      <c r="S18" s="928"/>
      <c r="V18" s="927"/>
      <c r="AM18" s="928"/>
      <c r="AN18" s="1962"/>
      <c r="AO18" s="1962"/>
      <c r="AP18" s="1957"/>
      <c r="AQ18" s="1957"/>
      <c r="AR18" s="1957"/>
      <c r="AS18" s="1957"/>
      <c r="AT18" s="1957"/>
      <c r="AU18" s="1957"/>
      <c r="AV18" s="1957"/>
      <c r="AW18" s="1957"/>
      <c r="AX18" s="1957"/>
      <c r="AY18" s="1957"/>
      <c r="AZ18" s="1957"/>
      <c r="BA18" s="1957"/>
      <c r="BB18" s="1957"/>
    </row>
    <row r="19" ht="12.75" customHeight="1">
      <c r="A19" s="927"/>
      <c r="S19" s="928"/>
      <c r="V19" s="927"/>
      <c r="AM19" s="928"/>
      <c r="AN19" s="1962"/>
      <c r="AO19" s="1962"/>
      <c r="AP19" s="1957"/>
      <c r="AQ19" s="1957"/>
      <c r="AR19" s="1957"/>
      <c r="AS19" s="1957"/>
      <c r="AT19" s="1957"/>
      <c r="AU19" s="1957"/>
      <c r="AV19" s="1957"/>
      <c r="AW19" s="1957"/>
      <c r="AX19" s="1957"/>
      <c r="AY19" s="1957"/>
      <c r="AZ19" s="1957"/>
      <c r="BA19" s="1957"/>
      <c r="BB19" s="1957"/>
    </row>
    <row r="20" ht="12.75" customHeight="1">
      <c r="A20" s="927"/>
      <c r="S20" s="928"/>
      <c r="V20" s="927"/>
      <c r="AM20" s="928"/>
      <c r="AN20" s="1962"/>
      <c r="AO20" s="1962"/>
      <c r="AP20" s="1957"/>
      <c r="AQ20" s="1957"/>
      <c r="AR20" s="1957"/>
      <c r="AS20" s="1957"/>
      <c r="AT20" s="1957"/>
      <c r="AU20" s="1957"/>
      <c r="AV20" s="1957"/>
      <c r="AW20" s="1957"/>
      <c r="AX20" s="1957"/>
      <c r="AY20" s="1957"/>
      <c r="AZ20" s="1957"/>
      <c r="BA20" s="1957"/>
      <c r="BB20" s="1957"/>
    </row>
    <row r="21" ht="12.75" customHeight="1">
      <c r="A21" s="927"/>
      <c r="S21" s="928"/>
      <c r="V21" s="927"/>
      <c r="AM21" s="928"/>
      <c r="AN21" s="1962"/>
      <c r="AO21" s="1962"/>
      <c r="AP21" s="1957"/>
      <c r="AQ21" s="1957"/>
      <c r="AR21" s="1957"/>
      <c r="AS21" s="1957"/>
      <c r="AT21" s="1957"/>
      <c r="AU21" s="1957"/>
      <c r="AV21" s="1957"/>
      <c r="AW21" s="1957"/>
      <c r="AX21" s="1957"/>
      <c r="AY21" s="1957"/>
      <c r="AZ21" s="1957"/>
      <c r="BA21" s="1957"/>
      <c r="BB21" s="1957"/>
    </row>
    <row r="22" ht="12.75" customHeight="1">
      <c r="A22" s="927"/>
      <c r="S22" s="928"/>
      <c r="V22" s="927"/>
      <c r="AM22" s="928"/>
      <c r="AN22" s="1962"/>
      <c r="AO22" s="1962"/>
      <c r="AP22" s="1957"/>
      <c r="AQ22" s="1957"/>
      <c r="AR22" s="1957"/>
      <c r="AS22" s="1957"/>
      <c r="AT22" s="1957"/>
      <c r="AU22" s="1957"/>
      <c r="AV22" s="1957"/>
      <c r="AW22" s="1957"/>
      <c r="AX22" s="1957"/>
      <c r="AY22" s="1957"/>
      <c r="AZ22" s="1957"/>
      <c r="BA22" s="1957"/>
      <c r="BB22" s="1957"/>
    </row>
    <row r="23" ht="12.75" customHeight="1">
      <c r="A23" s="927"/>
      <c r="S23" s="928"/>
      <c r="V23" s="927"/>
      <c r="AM23" s="928"/>
      <c r="AN23" s="1962"/>
      <c r="AO23" s="1962"/>
      <c r="AP23" s="1957"/>
      <c r="AQ23" s="1957"/>
      <c r="AR23" s="1957"/>
      <c r="AS23" s="1957"/>
      <c r="AT23" s="1957"/>
      <c r="AU23" s="1957"/>
      <c r="AV23" s="1957"/>
      <c r="AW23" s="1957"/>
      <c r="AX23" s="1957"/>
      <c r="AY23" s="1957"/>
      <c r="AZ23" s="1957"/>
      <c r="BA23" s="1957"/>
      <c r="BB23" s="1957"/>
    </row>
    <row r="24" ht="12.75" customHeight="1">
      <c r="A24" s="927"/>
      <c r="S24" s="928"/>
      <c r="V24" s="927"/>
      <c r="AM24" s="928"/>
      <c r="AN24" s="1962"/>
      <c r="AO24" s="1962"/>
      <c r="AP24" s="1957"/>
      <c r="AQ24" s="1957"/>
      <c r="AR24" s="1957"/>
      <c r="AS24" s="1957"/>
      <c r="AT24" s="1957"/>
      <c r="AU24" s="1957"/>
      <c r="AV24" s="1957"/>
      <c r="AW24" s="1957"/>
      <c r="AX24" s="1957"/>
      <c r="AY24" s="1957"/>
      <c r="AZ24" s="1957"/>
      <c r="BA24" s="1957"/>
      <c r="BB24" s="1957"/>
    </row>
    <row r="25" ht="12.75" customHeight="1">
      <c r="A25" s="927"/>
      <c r="S25" s="928"/>
      <c r="V25" s="927"/>
      <c r="AM25" s="928"/>
      <c r="AN25" s="1962"/>
      <c r="AO25" s="1962"/>
      <c r="AP25" s="1957"/>
      <c r="AQ25" s="1957"/>
      <c r="AR25" s="1957"/>
      <c r="AS25" s="1957"/>
      <c r="AT25" s="1957"/>
      <c r="AU25" s="1957"/>
      <c r="AV25" s="1957"/>
      <c r="AW25" s="1957"/>
      <c r="AX25" s="1957"/>
      <c r="AY25" s="1957"/>
      <c r="AZ25" s="1957"/>
      <c r="BA25" s="1957"/>
      <c r="BB25" s="1957"/>
    </row>
    <row r="26" ht="12.75" customHeight="1">
      <c r="A26" s="927"/>
      <c r="S26" s="928"/>
      <c r="V26" s="927"/>
      <c r="AM26" s="928"/>
      <c r="AN26" s="1962"/>
      <c r="AO26" s="1962"/>
      <c r="AP26" s="1957"/>
      <c r="AQ26" s="1957"/>
      <c r="AR26" s="1957"/>
      <c r="AS26" s="1957"/>
      <c r="AT26" s="1957"/>
      <c r="AU26" s="1957"/>
      <c r="AV26" s="1957"/>
      <c r="AW26" s="1957"/>
      <c r="AX26" s="1957"/>
      <c r="AY26" s="1957"/>
      <c r="AZ26" s="1957"/>
      <c r="BA26" s="1957"/>
      <c r="BB26" s="1957"/>
    </row>
    <row r="27" ht="12.75" customHeight="1">
      <c r="A27" s="927"/>
      <c r="S27" s="928"/>
      <c r="V27" s="927"/>
      <c r="AM27" s="928"/>
      <c r="AN27" s="1962"/>
      <c r="AO27" s="1962"/>
      <c r="AP27" s="1957"/>
      <c r="AQ27" s="1957"/>
      <c r="AR27" s="1957"/>
      <c r="AS27" s="1957"/>
      <c r="AT27" s="1957"/>
      <c r="AU27" s="1957"/>
      <c r="AV27" s="1957"/>
      <c r="AW27" s="1957"/>
      <c r="AX27" s="1957"/>
      <c r="AY27" s="1957"/>
      <c r="AZ27" s="1957"/>
      <c r="BA27" s="1957"/>
      <c r="BB27" s="1957"/>
    </row>
    <row r="28" ht="12.75" customHeight="1">
      <c r="A28" s="927"/>
      <c r="S28" s="928"/>
      <c r="V28" s="927"/>
      <c r="AM28" s="928"/>
      <c r="AN28" s="1962"/>
      <c r="AO28" s="1962"/>
      <c r="AP28" s="1957"/>
      <c r="AQ28" s="1957"/>
      <c r="AR28" s="1957"/>
      <c r="AS28" s="1957"/>
      <c r="AT28" s="1957"/>
      <c r="AU28" s="1957"/>
      <c r="AV28" s="1957"/>
      <c r="AW28" s="1957"/>
      <c r="AX28" s="1957"/>
      <c r="AY28" s="1957"/>
      <c r="AZ28" s="1957"/>
      <c r="BA28" s="1957"/>
      <c r="BB28" s="1957"/>
    </row>
    <row r="29" ht="12.75" customHeight="1">
      <c r="A29" s="927"/>
      <c r="S29" s="928"/>
      <c r="V29" s="927"/>
      <c r="AM29" s="928"/>
      <c r="AN29" s="1962"/>
      <c r="AO29" s="1962"/>
      <c r="AP29" s="1957"/>
      <c r="AQ29" s="1957"/>
      <c r="AR29" s="1957"/>
      <c r="AS29" s="1957"/>
      <c r="AT29" s="1957"/>
      <c r="AU29" s="1957"/>
      <c r="AV29" s="1957"/>
      <c r="AW29" s="1957"/>
      <c r="AX29" s="1957"/>
      <c r="AY29" s="1957"/>
      <c r="AZ29" s="1957"/>
      <c r="BA29" s="1957"/>
      <c r="BB29" s="1957"/>
    </row>
    <row r="30" ht="12.75" customHeight="1">
      <c r="A30" s="927"/>
      <c r="S30" s="928"/>
      <c r="V30" s="927"/>
      <c r="AM30" s="928"/>
      <c r="AN30" s="1962"/>
      <c r="AO30" s="1962"/>
      <c r="AP30" s="1957"/>
      <c r="AQ30" s="1957"/>
      <c r="AR30" s="1957"/>
      <c r="AS30" s="1957"/>
      <c r="AT30" s="1957"/>
      <c r="AU30" s="1957"/>
      <c r="AV30" s="1957"/>
      <c r="AW30" s="1957"/>
      <c r="AX30" s="1957"/>
      <c r="AY30" s="1957"/>
      <c r="AZ30" s="1957"/>
      <c r="BA30" s="1957"/>
      <c r="BB30" s="1957"/>
    </row>
    <row r="31" ht="12.75" customHeight="1">
      <c r="A31" s="927"/>
      <c r="S31" s="928"/>
      <c r="V31" s="927"/>
      <c r="AM31" s="928"/>
      <c r="AN31" s="1962"/>
      <c r="AO31" s="1962"/>
      <c r="AP31" s="1957"/>
      <c r="AQ31" s="1957"/>
      <c r="AR31" s="1957"/>
      <c r="AS31" s="1957"/>
      <c r="AT31" s="1957"/>
      <c r="AU31" s="1957"/>
      <c r="AV31" s="1957"/>
      <c r="AW31" s="1957"/>
      <c r="AX31" s="1957"/>
      <c r="AY31" s="1957"/>
      <c r="AZ31" s="1957"/>
      <c r="BA31" s="1957"/>
      <c r="BB31" s="1957"/>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2"/>
      <c r="AO32" s="1962"/>
      <c r="AP32" s="1957"/>
      <c r="AQ32" s="1957"/>
      <c r="AR32" s="1957"/>
      <c r="AS32" s="1957"/>
      <c r="AT32" s="1957"/>
      <c r="AU32" s="1957"/>
      <c r="AV32" s="1957"/>
      <c r="AW32" s="1957"/>
      <c r="AX32" s="1957"/>
      <c r="AY32" s="1957"/>
      <c r="AZ32" s="1957"/>
      <c r="BA32" s="1957"/>
      <c r="BB32" s="1957"/>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2"/>
      <c r="AO33" s="1962"/>
      <c r="AP33" s="1957"/>
      <c r="AQ33" s="1957"/>
      <c r="AR33" s="1957"/>
      <c r="AS33" s="1957"/>
      <c r="AT33" s="1957"/>
      <c r="AU33" s="1957"/>
      <c r="AV33" s="1957"/>
      <c r="AW33" s="1957"/>
      <c r="AX33" s="1957"/>
      <c r="AY33" s="1957"/>
      <c r="AZ33" s="1957"/>
      <c r="BA33" s="1957"/>
      <c r="BB33" s="1957"/>
    </row>
    <row r="34" ht="12.75" customHeight="1">
      <c r="A34" s="933" t="s">
        <v>570</v>
      </c>
      <c r="AN34" s="1962"/>
      <c r="AO34" s="1962"/>
      <c r="AP34" s="1957"/>
      <c r="AQ34" s="1957"/>
      <c r="AR34" s="1957"/>
      <c r="AS34" s="1957"/>
      <c r="AT34" s="1957"/>
      <c r="AU34" s="1957"/>
      <c r="AV34" s="1957"/>
      <c r="AW34" s="1957"/>
      <c r="AX34" s="1957"/>
      <c r="AY34" s="1957"/>
      <c r="AZ34" s="1957"/>
      <c r="BA34" s="1957"/>
      <c r="BB34" s="1957"/>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2"/>
      <c r="AO35" s="1962"/>
      <c r="AP35" s="1957"/>
      <c r="AQ35" s="1957"/>
      <c r="AR35" s="1957"/>
      <c r="AS35" s="1957"/>
      <c r="AT35" s="1957"/>
      <c r="AU35" s="1957"/>
      <c r="AV35" s="1957"/>
      <c r="AW35" s="1957"/>
      <c r="AX35" s="1957"/>
      <c r="AY35" s="1957"/>
      <c r="AZ35" s="1957"/>
      <c r="BA35" s="1957"/>
      <c r="BB35" s="1957"/>
    </row>
    <row r="36" ht="15.0" customHeight="1">
      <c r="A36" s="935" t="s">
        <v>572</v>
      </c>
      <c r="D36" s="936"/>
      <c r="E36" s="936"/>
      <c r="F36" s="936"/>
      <c r="G36" s="936"/>
      <c r="H36" s="936"/>
      <c r="I36" s="936"/>
      <c r="J36" s="936"/>
      <c r="K36" s="936"/>
      <c r="L36" s="936"/>
      <c r="M36" s="2294"/>
      <c r="N36" s="1964" t="s">
        <v>705</v>
      </c>
      <c r="O36" s="936"/>
      <c r="P36" s="936"/>
      <c r="S36" s="936"/>
      <c r="T36" s="936"/>
      <c r="U36" s="936"/>
      <c r="V36" s="936"/>
      <c r="W36" s="936"/>
      <c r="X36" s="936"/>
      <c r="Y36" s="936"/>
      <c r="AA36" s="942"/>
      <c r="AB36" s="938" t="s">
        <v>574</v>
      </c>
      <c r="AC36" s="939"/>
      <c r="AD36" s="939"/>
      <c r="AE36" s="943"/>
      <c r="AF36" s="939"/>
      <c r="AG36" s="939"/>
      <c r="AH36" s="939"/>
      <c r="AI36" s="939"/>
      <c r="AJ36" s="939"/>
      <c r="AK36" s="939"/>
      <c r="AN36" s="1962"/>
      <c r="AO36" s="1962"/>
      <c r="AP36" s="1957"/>
      <c r="AQ36" s="1957"/>
      <c r="AR36" s="1957"/>
      <c r="AS36" s="1957"/>
      <c r="AT36" s="1957"/>
      <c r="AU36" s="1957"/>
      <c r="AV36" s="1957"/>
      <c r="AW36" s="1957"/>
      <c r="AX36" s="1957"/>
      <c r="AY36" s="1957"/>
      <c r="AZ36" s="1957"/>
      <c r="BA36" s="1957"/>
      <c r="BB36" s="1957"/>
    </row>
    <row r="37" ht="15.0" customHeight="1">
      <c r="A37" s="944"/>
      <c r="B37" s="936"/>
      <c r="C37" s="936"/>
      <c r="D37" s="936"/>
      <c r="E37" s="936"/>
      <c r="F37" s="936"/>
      <c r="G37" s="1965"/>
      <c r="H37" s="936"/>
      <c r="I37" s="936"/>
      <c r="J37" s="936"/>
      <c r="K37" s="936"/>
      <c r="L37" s="936"/>
      <c r="M37" s="2294"/>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2"/>
      <c r="AO37" s="1962"/>
      <c r="AP37" s="1957"/>
      <c r="AQ37" s="1957"/>
      <c r="AR37" s="1957"/>
      <c r="AS37" s="1957"/>
      <c r="AT37" s="1957"/>
      <c r="AU37" s="1957"/>
      <c r="AV37" s="1957"/>
      <c r="AW37" s="1957"/>
      <c r="AX37" s="1957"/>
      <c r="AY37" s="1957"/>
      <c r="AZ37" s="1957"/>
      <c r="BA37" s="1957"/>
      <c r="BB37" s="1957"/>
    </row>
    <row r="38" ht="21.0" customHeight="1">
      <c r="A38" s="946" t="s">
        <v>763</v>
      </c>
      <c r="D38" s="947">
        <f>D40*1.1</f>
        <v>2676300</v>
      </c>
      <c r="L38" s="947"/>
      <c r="M38" s="2295"/>
      <c r="N38" s="948" t="s">
        <v>281</v>
      </c>
      <c r="O38" s="945"/>
      <c r="P38" s="949"/>
      <c r="Q38" s="947">
        <f>Q40*1.1</f>
        <v>11000</v>
      </c>
      <c r="AA38" s="942"/>
      <c r="AB38" s="948" t="s">
        <v>576</v>
      </c>
      <c r="AC38" s="939"/>
      <c r="AD38" s="939"/>
      <c r="AE38" s="943"/>
      <c r="AF38" s="939"/>
      <c r="AG38" s="939"/>
      <c r="AH38" s="939"/>
      <c r="AI38" s="950">
        <f>AN111</f>
        <v>0.5334844087</v>
      </c>
      <c r="AL38" s="959"/>
      <c r="AM38" s="959"/>
      <c r="AN38" s="1962"/>
      <c r="AO38" s="1962"/>
      <c r="AP38" s="1957"/>
      <c r="AQ38" s="1957"/>
      <c r="AR38" s="1957"/>
      <c r="AS38" s="1957"/>
      <c r="AT38" s="1957"/>
      <c r="AU38" s="1957"/>
      <c r="AV38" s="1957"/>
      <c r="AW38" s="1957"/>
      <c r="AX38" s="1957"/>
      <c r="AY38" s="1957"/>
      <c r="AZ38" s="1957"/>
      <c r="BA38" s="1957"/>
      <c r="BB38" s="1957"/>
    </row>
    <row r="39" ht="18.0" customHeight="1">
      <c r="D39" s="951"/>
      <c r="E39" s="952"/>
      <c r="F39" s="1966"/>
      <c r="G39" s="951"/>
      <c r="H39" s="951"/>
      <c r="I39" s="951"/>
      <c r="J39" s="939"/>
      <c r="K39" s="939"/>
      <c r="L39" s="939"/>
      <c r="M39" s="2295"/>
      <c r="N39" s="945"/>
      <c r="O39" s="939"/>
      <c r="Q39" s="951"/>
      <c r="R39" s="952"/>
      <c r="S39" s="951"/>
      <c r="T39" s="951"/>
      <c r="U39" s="951"/>
      <c r="V39" s="951"/>
      <c r="W39" s="939"/>
      <c r="X39" s="939"/>
      <c r="Y39" s="939"/>
      <c r="AA39" s="942"/>
      <c r="AB39" s="948" t="s">
        <v>577</v>
      </c>
      <c r="AC39" s="939"/>
      <c r="AD39" s="939"/>
      <c r="AE39" s="953"/>
      <c r="AF39" s="939"/>
      <c r="AG39" s="939"/>
      <c r="AH39" s="939"/>
      <c r="AI39" s="950">
        <f>AN123</f>
        <v>0.4618349707</v>
      </c>
      <c r="AL39" s="959"/>
      <c r="AM39" s="959"/>
      <c r="AN39" s="1962"/>
      <c r="AO39" s="1962"/>
      <c r="AP39" s="1957"/>
      <c r="AQ39" s="1957"/>
      <c r="AR39" s="1957"/>
      <c r="AS39" s="1957"/>
      <c r="AT39" s="1957"/>
      <c r="AU39" s="1957"/>
      <c r="AV39" s="1957"/>
      <c r="AW39" s="1957"/>
      <c r="AX39" s="1957"/>
      <c r="AY39" s="1957"/>
      <c r="AZ39" s="1957"/>
      <c r="BA39" s="1957"/>
      <c r="BB39" s="1957"/>
    </row>
    <row r="40">
      <c r="A40" s="946" t="s">
        <v>764</v>
      </c>
      <c r="D40" s="954">
        <f>AI165</f>
        <v>2433000</v>
      </c>
      <c r="E40" s="85"/>
      <c r="F40" s="85"/>
      <c r="G40" s="85"/>
      <c r="H40" s="85"/>
      <c r="I40" s="85"/>
      <c r="J40" s="85"/>
      <c r="K40" s="86"/>
      <c r="L40" s="947"/>
      <c r="M40" s="2295"/>
      <c r="N40" s="948" t="s">
        <v>579</v>
      </c>
      <c r="O40" s="945"/>
      <c r="P40" s="939"/>
      <c r="Q40" s="954">
        <f>ROUND(AI166,-3)</f>
        <v>10000</v>
      </c>
      <c r="R40" s="85"/>
      <c r="S40" s="85"/>
      <c r="T40" s="85"/>
      <c r="U40" s="85"/>
      <c r="V40" s="85"/>
      <c r="W40" s="85"/>
      <c r="X40" s="85"/>
      <c r="Y40" s="86"/>
      <c r="AA40" s="942"/>
      <c r="AB40" s="955" t="s">
        <v>580</v>
      </c>
      <c r="AI40" s="956">
        <f>AN135</f>
        <v>0</v>
      </c>
      <c r="AL40" s="959"/>
      <c r="AM40" s="959"/>
      <c r="AN40" s="1962"/>
      <c r="AO40" s="1962"/>
      <c r="AP40" s="1957"/>
      <c r="AQ40" s="1957"/>
      <c r="AR40" s="1957"/>
      <c r="AS40" s="1957"/>
      <c r="AT40" s="1957"/>
      <c r="AU40" s="1957"/>
      <c r="AV40" s="1957"/>
      <c r="AW40" s="1957"/>
      <c r="AX40" s="1957"/>
      <c r="AY40" s="1957"/>
      <c r="AZ40" s="1957"/>
      <c r="BA40" s="1957"/>
      <c r="BB40" s="1957"/>
    </row>
    <row r="41">
      <c r="D41" s="951"/>
      <c r="E41" s="957"/>
      <c r="G41" s="1967"/>
      <c r="H41" s="951"/>
      <c r="I41" s="951"/>
      <c r="J41" s="939"/>
      <c r="K41" s="939"/>
      <c r="L41" s="939"/>
      <c r="M41" s="2295"/>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2"/>
      <c r="AO41" s="1962"/>
      <c r="AP41" s="1957"/>
      <c r="AQ41" s="1957"/>
      <c r="AR41" s="1957"/>
      <c r="AS41" s="1957"/>
      <c r="AT41" s="1957"/>
      <c r="AU41" s="1957"/>
      <c r="AV41" s="1957"/>
      <c r="AW41" s="1957"/>
      <c r="AX41" s="1957"/>
      <c r="AY41" s="1957"/>
      <c r="AZ41" s="1957"/>
      <c r="BA41" s="1957"/>
      <c r="BB41" s="1957"/>
    </row>
    <row r="42">
      <c r="A42" s="946" t="s">
        <v>765</v>
      </c>
      <c r="D42" s="1398">
        <f>D40*0.9</f>
        <v>2189700</v>
      </c>
      <c r="L42" s="951"/>
      <c r="M42" s="2295"/>
      <c r="N42" s="948" t="s">
        <v>276</v>
      </c>
      <c r="O42" s="945"/>
      <c r="P42" s="939"/>
      <c r="Q42" s="1398">
        <f>Q40*0.9</f>
        <v>9000</v>
      </c>
      <c r="AA42" s="942"/>
      <c r="AB42" s="960" t="s">
        <v>582</v>
      </c>
      <c r="AI42" s="950">
        <f>AN157</f>
        <v>0.004680620619</v>
      </c>
      <c r="AL42" s="959"/>
      <c r="AM42" s="959"/>
      <c r="AN42" s="1962"/>
      <c r="AO42" s="1962"/>
      <c r="AP42" s="1957"/>
      <c r="AQ42" s="1957"/>
      <c r="AR42" s="1957"/>
      <c r="AS42" s="1957"/>
      <c r="AT42" s="1957"/>
      <c r="AU42" s="1957"/>
      <c r="AV42" s="1957"/>
      <c r="AW42" s="1957"/>
      <c r="AX42" s="1957"/>
      <c r="AY42" s="1957"/>
      <c r="AZ42" s="1957"/>
      <c r="BA42" s="1957"/>
      <c r="BB42" s="1957"/>
    </row>
    <row r="43" ht="15.0" customHeight="1">
      <c r="D43" s="939"/>
      <c r="E43" s="943"/>
      <c r="F43" s="939"/>
      <c r="G43" s="939"/>
      <c r="H43" s="939"/>
      <c r="I43" s="939"/>
      <c r="J43" s="939"/>
      <c r="K43" s="939"/>
      <c r="L43" s="939"/>
      <c r="M43" s="2296"/>
      <c r="N43" s="939"/>
      <c r="O43" s="939"/>
      <c r="P43" s="939"/>
      <c r="Q43" s="939"/>
      <c r="R43" s="939"/>
      <c r="S43" s="939"/>
      <c r="T43" s="939"/>
      <c r="U43" s="939"/>
      <c r="V43" s="939"/>
      <c r="W43" s="939"/>
      <c r="X43" s="939"/>
      <c r="Y43" s="939"/>
      <c r="Z43" s="939"/>
      <c r="AA43" s="961"/>
      <c r="AI43" s="959" t="s">
        <v>244</v>
      </c>
      <c r="AJ43" s="1399">
        <f>SUM(AI38:AI43)</f>
        <v>1</v>
      </c>
      <c r="AN43" s="1962"/>
      <c r="AO43" s="1962"/>
      <c r="AP43" s="1957"/>
      <c r="AQ43" s="1957"/>
      <c r="AR43" s="1957"/>
      <c r="AS43" s="1957"/>
      <c r="AT43" s="1957"/>
      <c r="AU43" s="1957"/>
      <c r="AV43" s="1957"/>
      <c r="AW43" s="1957"/>
      <c r="AX43" s="1957"/>
      <c r="AY43" s="1957"/>
      <c r="AZ43" s="1957"/>
      <c r="BA43" s="1957"/>
      <c r="BB43" s="1957"/>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2"/>
      <c r="AO44" s="1962"/>
      <c r="AP44" s="1957"/>
      <c r="AQ44" s="1957"/>
      <c r="AR44" s="1957"/>
      <c r="AS44" s="1957"/>
      <c r="AT44" s="1957"/>
      <c r="AU44" s="1957"/>
      <c r="AV44" s="1957"/>
      <c r="AW44" s="1957"/>
      <c r="AX44" s="1957"/>
      <c r="AY44" s="1957"/>
      <c r="AZ44" s="1957"/>
      <c r="BA44" s="1957"/>
      <c r="BB44" s="1957"/>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2"/>
      <c r="AO45" s="1962"/>
      <c r="AP45" s="1957"/>
      <c r="AQ45" s="1957"/>
      <c r="AR45" s="1957"/>
      <c r="AS45" s="1957"/>
      <c r="AT45" s="1957"/>
      <c r="AU45" s="1957"/>
      <c r="AV45" s="1957"/>
      <c r="AW45" s="1957"/>
      <c r="AX45" s="1957"/>
      <c r="AY45" s="1957"/>
      <c r="AZ45" s="1957"/>
      <c r="BA45" s="1957"/>
      <c r="BB45" s="1957"/>
    </row>
    <row r="46">
      <c r="A46" s="974" t="s">
        <v>583</v>
      </c>
      <c r="B46" s="975"/>
      <c r="C46" s="975"/>
      <c r="D46" s="975"/>
      <c r="E46" s="975"/>
      <c r="F46" s="975"/>
      <c r="G46" s="975"/>
      <c r="H46" s="975"/>
      <c r="I46" s="975"/>
      <c r="J46" s="975"/>
      <c r="K46" s="976">
        <f>AE80</f>
        <v>1</v>
      </c>
      <c r="L46" s="977"/>
      <c r="M46" s="977"/>
      <c r="N46" s="1401" t="s">
        <v>636</v>
      </c>
      <c r="O46" s="975"/>
      <c r="P46" s="977"/>
      <c r="Q46" s="977"/>
      <c r="R46" s="977"/>
      <c r="S46" s="977"/>
      <c r="T46" s="977"/>
      <c r="U46" s="977"/>
      <c r="V46" s="977"/>
      <c r="W46" s="979">
        <f>(AP166*10)/1</f>
        <v>0.04</v>
      </c>
      <c r="AB46" s="980" t="s">
        <v>585</v>
      </c>
      <c r="AC46" s="981"/>
      <c r="AD46" s="982"/>
      <c r="AE46" s="983"/>
      <c r="AF46" s="983"/>
      <c r="AG46" s="983"/>
      <c r="AH46" s="984" t="s">
        <v>766</v>
      </c>
      <c r="AI46" s="985"/>
      <c r="AJ46" s="985"/>
      <c r="AK46" s="985"/>
      <c r="AL46" s="986"/>
      <c r="AN46" s="1962"/>
      <c r="AO46" s="1962"/>
      <c r="AP46" s="1957"/>
      <c r="AQ46" s="1957"/>
      <c r="AR46" s="1957"/>
      <c r="AS46" s="1957"/>
      <c r="AT46" s="1957"/>
      <c r="AU46" s="1957"/>
      <c r="AV46" s="1957"/>
      <c r="AW46" s="1957"/>
      <c r="AX46" s="1957"/>
      <c r="AY46" s="1957"/>
      <c r="AZ46" s="1957"/>
      <c r="BA46" s="1957"/>
      <c r="BB46" s="1957"/>
    </row>
    <row r="47" ht="8.25" customHeight="1">
      <c r="A47" s="987"/>
      <c r="K47" s="916"/>
      <c r="L47" s="939"/>
      <c r="M47" s="939"/>
      <c r="N47" s="977"/>
      <c r="O47" s="939"/>
      <c r="P47" s="939"/>
      <c r="Q47" s="939"/>
      <c r="R47" s="939"/>
      <c r="S47" s="939"/>
      <c r="T47" s="939"/>
      <c r="U47" s="939"/>
      <c r="V47" s="939"/>
      <c r="W47" s="939"/>
      <c r="X47" s="939"/>
      <c r="Y47" s="939"/>
      <c r="Z47" s="939"/>
      <c r="AB47" s="1968" t="s">
        <v>767</v>
      </c>
      <c r="AL47" s="1969"/>
      <c r="AM47" s="1004"/>
      <c r="AN47" s="1962"/>
      <c r="AO47" s="1962"/>
      <c r="AP47" s="1957"/>
      <c r="AQ47" s="1957"/>
      <c r="AR47" s="1957"/>
      <c r="AS47" s="1957"/>
      <c r="AT47" s="1957"/>
      <c r="AU47" s="1957"/>
      <c r="AV47" s="1957"/>
      <c r="AW47" s="1957"/>
      <c r="AX47" s="1957"/>
      <c r="AY47" s="1957"/>
      <c r="AZ47" s="1957"/>
      <c r="BA47" s="1957"/>
      <c r="BB47" s="1957"/>
    </row>
    <row r="48" ht="12.75" customHeight="1">
      <c r="A48" s="974" t="s">
        <v>586</v>
      </c>
      <c r="I48" s="991">
        <f>AK86</f>
        <v>1</v>
      </c>
      <c r="L48" s="939"/>
      <c r="M48" s="939"/>
      <c r="N48" s="992" t="s">
        <v>587</v>
      </c>
      <c r="O48" s="993"/>
      <c r="P48" s="965"/>
      <c r="Q48" s="965"/>
      <c r="R48" s="994"/>
      <c r="S48" s="965"/>
      <c r="T48" s="965"/>
      <c r="U48" s="965"/>
      <c r="V48" s="965"/>
      <c r="W48" s="995"/>
      <c r="X48" s="1970" t="str">
        <f>W86</f>
        <v>REMODELADO</v>
      </c>
      <c r="AB48" s="1971"/>
      <c r="AC48" s="989"/>
      <c r="AD48" s="989"/>
      <c r="AE48" s="989"/>
      <c r="AF48" s="989"/>
      <c r="AG48" s="989"/>
      <c r="AH48" s="989"/>
      <c r="AI48" s="989"/>
      <c r="AJ48" s="989"/>
      <c r="AK48" s="989"/>
      <c r="AL48" s="990"/>
      <c r="AM48" s="1004"/>
      <c r="AN48" s="1957"/>
      <c r="AO48" s="1957"/>
      <c r="AP48" s="1957"/>
      <c r="AQ48" s="1957"/>
      <c r="AR48" s="1957"/>
      <c r="AS48" s="1957"/>
      <c r="AT48" s="1957"/>
      <c r="AU48" s="1957"/>
      <c r="AV48" s="1957"/>
      <c r="AW48" s="1957"/>
      <c r="AX48" s="1957"/>
      <c r="AY48" s="1957"/>
      <c r="AZ48" s="1957"/>
      <c r="BA48" s="1957"/>
      <c r="BB48" s="1957"/>
    </row>
    <row r="49" ht="9.75" customHeight="1">
      <c r="A49" s="1407"/>
      <c r="L49" s="939"/>
      <c r="M49" s="939"/>
      <c r="N49" s="1412"/>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957"/>
      <c r="AO49" s="1957"/>
      <c r="AP49" s="1957"/>
      <c r="AQ49" s="1957"/>
      <c r="AR49" s="1957"/>
      <c r="AS49" s="1957"/>
      <c r="AT49" s="1957"/>
      <c r="AU49" s="1957"/>
      <c r="AV49" s="1957"/>
      <c r="AW49" s="1957"/>
      <c r="AX49" s="1957"/>
      <c r="AY49" s="1957"/>
      <c r="AZ49" s="1957"/>
      <c r="BA49" s="1957"/>
      <c r="BB49" s="1957"/>
    </row>
    <row r="50">
      <c r="A50" s="974" t="s">
        <v>588</v>
      </c>
      <c r="H50" s="1409" t="str">
        <f>AG86</f>
        <v>0 - P.BAJA</v>
      </c>
      <c r="M50" s="939"/>
      <c r="N50" s="992" t="s">
        <v>589</v>
      </c>
      <c r="O50" s="993"/>
      <c r="P50" s="965"/>
      <c r="Q50" s="965"/>
      <c r="R50" s="999"/>
      <c r="S50" s="965"/>
      <c r="T50" s="965"/>
      <c r="U50" s="965"/>
      <c r="V50" s="965"/>
      <c r="W50" s="1972">
        <f>A86</f>
        <v>21</v>
      </c>
      <c r="AB50" s="1001" t="s">
        <v>629</v>
      </c>
      <c r="AD50" s="939"/>
      <c r="AE50" s="939"/>
      <c r="AF50" s="939"/>
      <c r="AG50" s="939"/>
      <c r="AH50" s="939"/>
      <c r="AI50" s="1003" t="s">
        <v>768</v>
      </c>
      <c r="AM50" s="1004"/>
      <c r="AN50" s="1957"/>
      <c r="AO50" s="1957"/>
      <c r="AP50" s="1957"/>
      <c r="AQ50" s="1957"/>
      <c r="AR50" s="1957"/>
      <c r="AS50" s="1957"/>
      <c r="AT50" s="1957"/>
      <c r="AU50" s="1957"/>
      <c r="AV50" s="1957"/>
      <c r="AW50" s="1957"/>
      <c r="AX50" s="1957"/>
      <c r="AY50" s="1957"/>
      <c r="AZ50" s="1957"/>
      <c r="BA50" s="1957"/>
      <c r="BB50" s="1957"/>
    </row>
    <row r="51" ht="9.0" customHeight="1">
      <c r="A51" s="1411"/>
      <c r="L51" s="965"/>
      <c r="M51" s="965"/>
      <c r="N51" s="1412"/>
      <c r="O51" s="993"/>
      <c r="P51" s="965"/>
      <c r="Q51" s="965"/>
      <c r="R51" s="999"/>
      <c r="S51" s="965"/>
      <c r="T51" s="965"/>
      <c r="U51" s="965"/>
      <c r="V51" s="965"/>
      <c r="W51" s="965"/>
      <c r="X51" s="965"/>
      <c r="Y51" s="965"/>
      <c r="Z51" s="965"/>
      <c r="AB51" s="1413"/>
      <c r="AC51" s="965"/>
      <c r="AD51" s="965"/>
      <c r="AE51" s="965"/>
      <c r="AF51" s="965"/>
      <c r="AG51" s="965"/>
      <c r="AH51" s="965"/>
      <c r="AI51" s="965"/>
      <c r="AJ51" s="965"/>
      <c r="AK51" s="965"/>
      <c r="AL51" s="1006"/>
      <c r="AM51" s="1006"/>
      <c r="AN51" s="1957"/>
      <c r="AO51" s="1957"/>
      <c r="AP51" s="1957"/>
      <c r="AQ51" s="1957"/>
      <c r="AR51" s="1957"/>
      <c r="AS51" s="1957"/>
      <c r="AT51" s="1957"/>
      <c r="AU51" s="1957"/>
      <c r="AV51" s="1957"/>
      <c r="AW51" s="1957"/>
      <c r="AX51" s="1957"/>
      <c r="AY51" s="1957"/>
      <c r="AZ51" s="1957"/>
      <c r="BA51" s="1957"/>
      <c r="BB51" s="1957"/>
    </row>
    <row r="52">
      <c r="A52" s="992" t="s">
        <v>576</v>
      </c>
      <c r="I52" s="1005">
        <f>C111</f>
        <v>91.97</v>
      </c>
      <c r="M52" s="965"/>
      <c r="N52" s="992" t="s">
        <v>591</v>
      </c>
      <c r="O52" s="1006"/>
      <c r="P52" s="1007"/>
      <c r="Q52" s="1007"/>
      <c r="R52" s="999"/>
      <c r="S52" s="965"/>
      <c r="T52" s="965"/>
      <c r="U52" s="965"/>
      <c r="V52" s="965"/>
      <c r="W52" s="1972">
        <f>I86</f>
        <v>49</v>
      </c>
      <c r="AB52" s="1008" t="s">
        <v>592</v>
      </c>
      <c r="AC52" s="965"/>
      <c r="AD52" s="965"/>
      <c r="AE52" s="965"/>
      <c r="AF52" s="965"/>
      <c r="AG52" s="1009" t="s">
        <v>769</v>
      </c>
      <c r="AM52" s="1006"/>
      <c r="AN52" s="1957"/>
      <c r="AO52" s="1957"/>
      <c r="AP52" s="1957"/>
      <c r="AQ52" s="1957"/>
      <c r="AR52" s="1957"/>
      <c r="AS52" s="1957"/>
      <c r="AT52" s="1957"/>
      <c r="AU52" s="1957"/>
      <c r="AV52" s="1957"/>
      <c r="AW52" s="1957"/>
      <c r="AX52" s="1957"/>
      <c r="AY52" s="1957"/>
      <c r="AZ52" s="1957"/>
      <c r="BA52" s="1957"/>
      <c r="BB52" s="1957"/>
    </row>
    <row r="53" ht="10.5" customHeight="1">
      <c r="A53" s="1411"/>
      <c r="L53" s="965"/>
      <c r="M53" s="965"/>
      <c r="N53" s="1412"/>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957"/>
      <c r="AO53" s="1957"/>
      <c r="AP53" s="1957"/>
      <c r="AQ53" s="1957"/>
      <c r="AR53" s="1957"/>
      <c r="AS53" s="1957"/>
      <c r="AT53" s="1957"/>
      <c r="AU53" s="1957"/>
      <c r="AV53" s="1957"/>
      <c r="AW53" s="1957"/>
      <c r="AX53" s="1957"/>
      <c r="AY53" s="1957"/>
      <c r="AZ53" s="1957"/>
      <c r="BA53" s="1957"/>
      <c r="BB53" s="1957"/>
    </row>
    <row r="54">
      <c r="A54" s="992" t="s">
        <v>577</v>
      </c>
      <c r="B54" s="993"/>
      <c r="C54" s="965"/>
      <c r="D54" s="965"/>
      <c r="E54" s="994"/>
      <c r="F54" s="965"/>
      <c r="G54" s="965"/>
      <c r="H54" s="965"/>
      <c r="I54" s="1010">
        <f>K123</f>
        <v>74.2</v>
      </c>
      <c r="M54" s="965"/>
      <c r="N54" s="992" t="s">
        <v>593</v>
      </c>
      <c r="O54" s="1006"/>
      <c r="P54" s="1007"/>
      <c r="Q54" s="1007"/>
      <c r="R54" s="999"/>
      <c r="S54" s="965"/>
      <c r="T54" s="965"/>
      <c r="U54" s="965"/>
      <c r="V54" s="965"/>
      <c r="W54" s="1011">
        <f>AJ83</f>
        <v>1</v>
      </c>
      <c r="AB54" s="1012" t="s">
        <v>594</v>
      </c>
      <c r="AF54" s="1013"/>
      <c r="AG54" s="1014" t="s">
        <v>770</v>
      </c>
      <c r="AM54" s="1006"/>
      <c r="AN54" s="1957"/>
      <c r="AO54" s="1957"/>
      <c r="AP54" s="1957"/>
      <c r="AQ54" s="1957"/>
      <c r="AR54" s="1957"/>
      <c r="AS54" s="1957"/>
      <c r="AT54" s="1957"/>
      <c r="AU54" s="1957"/>
      <c r="AV54" s="1957"/>
      <c r="AW54" s="1957"/>
      <c r="AX54" s="1957"/>
      <c r="AY54" s="1957"/>
      <c r="AZ54" s="1957"/>
      <c r="BA54" s="1957"/>
      <c r="BB54" s="1957"/>
    </row>
    <row r="55" ht="15.0" customHeight="1">
      <c r="A55" s="1973" t="s">
        <v>634</v>
      </c>
      <c r="B55" s="993"/>
      <c r="C55" s="965"/>
      <c r="D55" s="965"/>
      <c r="E55" s="1974"/>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415"/>
      <c r="AC55" s="1415"/>
      <c r="AD55" s="1415"/>
      <c r="AE55" s="1415"/>
      <c r="AF55" s="1416"/>
      <c r="AG55" s="76"/>
      <c r="AH55" s="76"/>
      <c r="AI55" s="76"/>
      <c r="AJ55" s="76"/>
      <c r="AK55" s="76"/>
      <c r="AL55" s="34"/>
      <c r="AM55" s="1006"/>
      <c r="AN55" s="1957"/>
      <c r="AO55" s="1957"/>
      <c r="AP55" s="1957"/>
      <c r="AQ55" s="1957"/>
      <c r="AR55" s="1957"/>
      <c r="AS55" s="1957"/>
      <c r="AT55" s="1957"/>
      <c r="AU55" s="1957"/>
      <c r="AV55" s="1957"/>
      <c r="AW55" s="1957"/>
      <c r="AX55" s="1957"/>
      <c r="AY55" s="1957"/>
      <c r="AZ55" s="1957"/>
      <c r="BA55" s="1957"/>
      <c r="BB55" s="1957"/>
    </row>
    <row r="56">
      <c r="A56" s="933" t="s">
        <v>709</v>
      </c>
      <c r="AN56" s="1957"/>
      <c r="AO56" s="1957"/>
      <c r="AP56" s="1957"/>
      <c r="AQ56" s="1957"/>
      <c r="AR56" s="1957"/>
      <c r="AS56" s="1957"/>
      <c r="AT56" s="1957"/>
      <c r="AU56" s="1957"/>
      <c r="AV56" s="1957"/>
      <c r="AW56" s="1957"/>
      <c r="AX56" s="1957"/>
      <c r="AY56" s="1957"/>
      <c r="AZ56" s="1957"/>
      <c r="BA56" s="1957"/>
      <c r="BB56" s="1957"/>
    </row>
    <row r="57" ht="7.5" customHeight="1">
      <c r="A57" s="1975"/>
      <c r="B57" s="1976"/>
      <c r="D57" s="1977"/>
      <c r="E57" s="1977"/>
      <c r="F57" s="1977"/>
      <c r="G57" s="1977"/>
      <c r="H57" s="1977"/>
      <c r="I57" s="1977"/>
      <c r="J57" s="1977"/>
      <c r="K57" s="1977"/>
      <c r="L57" s="1975"/>
      <c r="M57" s="1975"/>
      <c r="N57" s="1975"/>
      <c r="O57" s="1977"/>
      <c r="P57" s="1977"/>
      <c r="R57" s="1977"/>
      <c r="S57" s="1977"/>
      <c r="T57" s="1977"/>
      <c r="V57" s="1977"/>
      <c r="W57" s="1977"/>
      <c r="X57" s="1977"/>
      <c r="Y57" s="1977"/>
      <c r="Z57" s="1975"/>
      <c r="AA57" s="1975"/>
      <c r="AB57" s="1975"/>
      <c r="AC57" s="1977"/>
      <c r="AD57" s="1977"/>
      <c r="AE57" s="1977"/>
      <c r="AF57" s="1977"/>
      <c r="AG57" s="1977"/>
      <c r="AH57" s="1977"/>
      <c r="AI57" s="1977"/>
      <c r="AJ57" s="1977"/>
      <c r="AK57" s="1977"/>
      <c r="AL57" s="1977"/>
      <c r="AM57" s="1977"/>
      <c r="AN57" s="1957"/>
      <c r="AO57" s="1957"/>
      <c r="AP57" s="1957"/>
      <c r="AQ57" s="1957"/>
      <c r="AR57" s="1957"/>
      <c r="AS57" s="1957"/>
      <c r="AT57" s="1957"/>
      <c r="AU57" s="1957"/>
      <c r="AV57" s="1957"/>
      <c r="AW57" s="1957"/>
      <c r="AX57" s="1957"/>
      <c r="AY57" s="1957"/>
      <c r="AZ57" s="1957"/>
      <c r="BA57" s="1957"/>
      <c r="BB57" s="1957"/>
    </row>
    <row r="58">
      <c r="B58" s="1975" t="s">
        <v>710</v>
      </c>
      <c r="C58" s="1975"/>
      <c r="D58" s="1975"/>
      <c r="E58" s="1975"/>
      <c r="F58" s="1975"/>
      <c r="G58" s="1975"/>
      <c r="H58" s="1975"/>
      <c r="I58" s="1975"/>
      <c r="J58" s="1975"/>
      <c r="K58" s="1975"/>
      <c r="L58" s="1977"/>
      <c r="M58" s="941"/>
      <c r="P58" s="1975" t="s">
        <v>711</v>
      </c>
      <c r="R58" s="1977"/>
      <c r="S58" s="1977"/>
      <c r="T58" s="1977"/>
      <c r="V58" s="1977"/>
      <c r="W58" s="1977"/>
      <c r="X58" s="1977"/>
      <c r="Y58" s="1977"/>
      <c r="Z58" s="1977"/>
      <c r="AA58" s="941"/>
      <c r="AC58" s="1975" t="s">
        <v>712</v>
      </c>
      <c r="AD58" s="1977"/>
      <c r="AE58" s="1977"/>
      <c r="AF58" s="1977"/>
      <c r="AG58" s="1977"/>
      <c r="AH58" s="1977"/>
      <c r="AI58" s="1977"/>
      <c r="AJ58" s="1977"/>
      <c r="AK58" s="1977"/>
      <c r="AL58" s="1977"/>
      <c r="AM58" s="1977"/>
      <c r="AN58" s="1957"/>
      <c r="AO58" s="1957"/>
      <c r="AP58" s="1957"/>
      <c r="AQ58" s="1957"/>
      <c r="AR58" s="1957"/>
      <c r="AS58" s="1957"/>
      <c r="AT58" s="1957"/>
      <c r="AU58" s="1957"/>
      <c r="AV58" s="1957"/>
      <c r="AW58" s="1957"/>
      <c r="AX58" s="1957"/>
      <c r="AY58" s="1957"/>
      <c r="AZ58" s="1957"/>
      <c r="BA58" s="1957"/>
      <c r="BB58" s="1957"/>
    </row>
    <row r="59" ht="15.0" customHeight="1">
      <c r="A59" s="1978">
        <f t="shared" ref="A59:A60" si="1">IF(B59&lt;&gt;"", IF((COUNTIFS($AP$92:$AP$109, "*"&amp;B59&amp;"*") + COUNTIFS($AR$92:$AR$109, "*"&amp;B59&amp;"*")) &gt; 0, SUMIFS($AO$92:$AO$109, $AP$92:$AP$109, "*"&amp;B59&amp;"*") + SUMIFS($AQ$92:$AQ$109, $AR$92:$AR$109, "*"&amp;B59&amp;"*") + SUMIFS($AT$92:$AT$109, $AU$92:$AU$109, "*"&amp;B59&amp;"*") + SUMIFS($AV$92:$AV$109, $AW$92:$AW$109, "*"&amp;B59&amp;"*"), ""), "")</f>
        <v>1</v>
      </c>
      <c r="B59" s="1979" t="s">
        <v>771</v>
      </c>
      <c r="D59" s="1980"/>
      <c r="E59" s="1980"/>
      <c r="F59" s="1980"/>
      <c r="G59" s="1980"/>
      <c r="H59" s="1980"/>
      <c r="I59" s="1980"/>
      <c r="K59" s="1980"/>
      <c r="L59" s="1980"/>
      <c r="M59" s="1981"/>
      <c r="O59" s="1982" t="s">
        <v>772</v>
      </c>
      <c r="Z59" s="965"/>
      <c r="AA59" s="941"/>
      <c r="AB59" s="1983" t="s">
        <v>772</v>
      </c>
      <c r="AN59" s="1957"/>
      <c r="AO59" s="1957"/>
      <c r="AP59" s="1957"/>
      <c r="AQ59" s="1957"/>
      <c r="AR59" s="1957"/>
      <c r="AS59" s="1957"/>
      <c r="AT59" s="1957"/>
      <c r="AU59" s="1957"/>
      <c r="AV59" s="1957"/>
      <c r="AW59" s="1957"/>
      <c r="AX59" s="1957"/>
      <c r="AY59" s="1957"/>
      <c r="AZ59" s="1957"/>
      <c r="BA59" s="1957"/>
      <c r="BB59" s="1957"/>
    </row>
    <row r="60">
      <c r="A60" s="1978">
        <f t="shared" si="1"/>
        <v>1</v>
      </c>
      <c r="B60" s="1979" t="s">
        <v>714</v>
      </c>
      <c r="E60" s="1984" t="s">
        <v>773</v>
      </c>
      <c r="I60" s="1984" t="s">
        <v>774</v>
      </c>
      <c r="M60" s="1981" t="str">
        <f t="shared" ref="M60:M67" si="2">J141</f>
        <v/>
      </c>
      <c r="O60" s="1982"/>
      <c r="Z60" s="965"/>
      <c r="AA60" s="942"/>
      <c r="AB60" s="1983" t="str">
        <f>+UPPER(C141)</f>
        <v/>
      </c>
      <c r="AN60" s="1957"/>
      <c r="AO60" s="1957"/>
      <c r="AP60" s="1957"/>
      <c r="AQ60" s="1957"/>
      <c r="AR60" s="1957"/>
      <c r="AS60" s="1957"/>
      <c r="AT60" s="1957"/>
      <c r="AU60" s="1957"/>
      <c r="AV60" s="1957"/>
      <c r="AW60" s="1957"/>
      <c r="AX60" s="1957"/>
      <c r="AY60" s="1957"/>
      <c r="AZ60" s="1957"/>
      <c r="BA60" s="1957"/>
      <c r="BB60" s="1957"/>
    </row>
    <row r="61">
      <c r="A61" s="1978">
        <f>IF(B61&lt;&gt;"", IF((COUNTIFS($AP$92:$AP$109, "*"&amp;B61&amp;"*") + COUNTIFS($AR$92:$AR$109, "*"&amp;B61&amp;"*")) &gt; 0, SUMIFS($AO$92:$AO$109, $AP$92:$AP$109, "*"&amp;B61&amp;"*") + SUMIFS($AQ$92:$AQ$109, $AR$92:$AR$109, "*"&amp;B61&amp;"*"), ""), "")
</f>
        <v>1</v>
      </c>
      <c r="B61" s="1979" t="s">
        <v>715</v>
      </c>
      <c r="M61" s="1981" t="str">
        <f t="shared" si="2"/>
        <v/>
      </c>
      <c r="O61" s="1982" t="str">
        <f t="shared" ref="O61:O67" si="3">+UPPER(C142)</f>
        <v/>
      </c>
      <c r="Z61" s="965"/>
      <c r="AA61" s="942"/>
      <c r="AB61" s="1983"/>
      <c r="AN61" s="1957"/>
      <c r="AO61" s="1957"/>
      <c r="AP61" s="1957"/>
      <c r="AQ61" s="1957"/>
      <c r="AR61" s="1957"/>
      <c r="AS61" s="1957"/>
      <c r="AT61" s="1957"/>
      <c r="AU61" s="1957"/>
      <c r="AV61" s="1957"/>
      <c r="AW61" s="1957"/>
      <c r="AX61" s="1957"/>
      <c r="AY61" s="1957"/>
      <c r="AZ61" s="1957"/>
      <c r="BA61" s="1957"/>
      <c r="BB61" s="1957"/>
    </row>
    <row r="62">
      <c r="A62" s="1978">
        <f>IF(B62&lt;&gt;"", IF((COUNTIFS($AP$92:$AP$109, "*"&amp;B62&amp;"*") + COUNTIFS($AR$92:$AR$109, "*"&amp;B62&amp;"*")) + COUNTIFS($AU$92:$AUR$109, "*"&amp;B62&amp;"*") &gt; 0, SUMIFS($AO$92:$AO$109, $AP$92:$AP$109, "*"&amp;B62&amp;"*") + SUMIFS($AQ$92:$AQ$109, $AR$92:$AR$109, "*"&amp;B62&amp;"*") + SUMIFS($AT$92:$AT$109, $AU$92:$AU$109, "*"&amp;B62&amp;"*") + SUMIFS($AV$92:$AV$109, $AW$92:$AW$109, "*"&amp;B62&amp;"*"), ""), "")</f>
        <v>3</v>
      </c>
      <c r="B62" s="1979" t="s">
        <v>716</v>
      </c>
      <c r="M62" s="1981" t="str">
        <f t="shared" si="2"/>
        <v/>
      </c>
      <c r="O62" s="1982" t="str">
        <f t="shared" si="3"/>
        <v/>
      </c>
      <c r="Z62" s="965"/>
      <c r="AA62" s="942"/>
      <c r="AB62" s="1983"/>
      <c r="AN62" s="1957"/>
      <c r="AO62" s="1957"/>
      <c r="AP62" s="1957"/>
      <c r="AQ62" s="1957"/>
      <c r="AR62" s="1957"/>
      <c r="AS62" s="1957"/>
      <c r="AT62" s="1957"/>
      <c r="AU62" s="1957"/>
      <c r="AV62" s="1957"/>
      <c r="AW62" s="1957"/>
      <c r="AX62" s="1957"/>
      <c r="AY62" s="1957"/>
      <c r="AZ62" s="1957"/>
      <c r="BA62" s="1957"/>
      <c r="BB62" s="1957"/>
    </row>
    <row r="63">
      <c r="A63" s="1978">
        <f t="shared" ref="A63:A67" si="4">IF(B63&lt;&gt;"", IF((COUNTIFS($AP$92:$AP$109, "*"&amp;B63&amp;"*") + COUNTIFS($AR$92:$AR$109, "*"&amp;B63&amp;"*")) &gt; 0, SUMIFS($AO$92:$AO$109, $AP$92:$AP$109, "*"&amp;B63&amp;"*") + SUMIFS($AQ$92:$AQ$109, $AR$92:$AR$109, "*"&amp;B63&amp;"*") + SUMIFS($AT$92:$AT$109, $AU$92:$AU$109, "*"&amp;B63&amp;"*") + SUMIFS($AV$92:$AV$109, $AW$92:$AW$109, "*"&amp;B63&amp;"*"), ""), "")</f>
        <v>2</v>
      </c>
      <c r="B63" s="1979" t="s">
        <v>717</v>
      </c>
      <c r="M63" s="1981" t="str">
        <f t="shared" si="2"/>
        <v/>
      </c>
      <c r="O63" s="1982" t="str">
        <f t="shared" si="3"/>
        <v/>
      </c>
      <c r="Z63" s="965"/>
      <c r="AA63" s="942"/>
      <c r="AB63" s="1983"/>
      <c r="AN63" s="1957"/>
      <c r="AO63" s="1957"/>
      <c r="AP63" s="1957"/>
      <c r="AQ63" s="1957"/>
      <c r="AR63" s="1957"/>
      <c r="AS63" s="1957"/>
      <c r="AT63" s="1957"/>
      <c r="AU63" s="1957"/>
      <c r="AV63" s="1957"/>
      <c r="AW63" s="1957"/>
      <c r="AX63" s="1957"/>
      <c r="AY63" s="1957"/>
      <c r="AZ63" s="1957"/>
      <c r="BA63" s="1957"/>
      <c r="BB63" s="1957"/>
    </row>
    <row r="64">
      <c r="A64" s="1978" t="str">
        <f t="shared" si="4"/>
        <v/>
      </c>
      <c r="B64" s="1979" t="s">
        <v>775</v>
      </c>
      <c r="M64" s="1981" t="str">
        <f t="shared" si="2"/>
        <v/>
      </c>
      <c r="O64" s="1982" t="str">
        <f t="shared" si="3"/>
        <v/>
      </c>
      <c r="Z64" s="965"/>
      <c r="AA64" s="942"/>
      <c r="AB64" s="1983"/>
      <c r="AN64" s="1957"/>
      <c r="AO64" s="1957"/>
      <c r="AP64" s="1957"/>
      <c r="AQ64" s="1957"/>
      <c r="AR64" s="1957"/>
      <c r="AS64" s="1957"/>
      <c r="AT64" s="1957"/>
      <c r="AU64" s="1957"/>
      <c r="AV64" s="1957"/>
      <c r="AW64" s="1957"/>
      <c r="AX64" s="1957"/>
      <c r="AY64" s="1957"/>
      <c r="AZ64" s="1957"/>
      <c r="BA64" s="1957"/>
      <c r="BB64" s="1957"/>
    </row>
    <row r="65" hidden="1">
      <c r="A65" s="1987" t="str">
        <f t="shared" si="4"/>
        <v/>
      </c>
      <c r="B65" s="1979"/>
      <c r="M65" s="1981" t="str">
        <f t="shared" si="2"/>
        <v/>
      </c>
      <c r="O65" s="1982" t="str">
        <f t="shared" si="3"/>
        <v/>
      </c>
      <c r="Z65" s="965"/>
      <c r="AA65" s="961"/>
      <c r="AB65" s="1983"/>
      <c r="AN65" s="1957"/>
      <c r="AO65" s="1957"/>
      <c r="AP65" s="1471"/>
      <c r="AQ65" s="1471"/>
      <c r="AR65" s="1471"/>
      <c r="AS65" s="1471"/>
      <c r="AT65" s="1471"/>
      <c r="AU65" s="1471"/>
      <c r="AV65" s="1471"/>
      <c r="AW65" s="1471"/>
      <c r="AX65" s="1957"/>
      <c r="AY65" s="1957"/>
      <c r="AZ65" s="1957"/>
      <c r="BA65" s="1957"/>
      <c r="BB65" s="1957"/>
    </row>
    <row r="66" hidden="1">
      <c r="A66" s="1987" t="str">
        <f t="shared" si="4"/>
        <v/>
      </c>
      <c r="B66" s="1979"/>
      <c r="M66" s="1981" t="str">
        <f t="shared" si="2"/>
        <v/>
      </c>
      <c r="O66" s="1982" t="str">
        <f t="shared" si="3"/>
        <v/>
      </c>
      <c r="Z66" s="965"/>
      <c r="AA66" s="941"/>
      <c r="AB66" s="1983"/>
      <c r="AN66" s="1957"/>
      <c r="AO66" s="1957"/>
      <c r="AP66" s="1471"/>
      <c r="AQ66" s="1957"/>
      <c r="AR66" s="1471"/>
      <c r="AS66" s="1471"/>
      <c r="AT66" s="1471"/>
      <c r="AU66" s="1471"/>
      <c r="AV66" s="1471"/>
      <c r="AW66" s="1471"/>
      <c r="AX66" s="1957"/>
      <c r="AY66" s="1957"/>
      <c r="AZ66" s="1957"/>
      <c r="BA66" s="1957"/>
      <c r="BB66" s="1957"/>
    </row>
    <row r="67" hidden="1">
      <c r="A67" s="1987" t="str">
        <f t="shared" si="4"/>
        <v/>
      </c>
      <c r="B67" s="1979"/>
      <c r="M67" s="1981" t="str">
        <f t="shared" si="2"/>
        <v/>
      </c>
      <c r="O67" s="1982" t="str">
        <f t="shared" si="3"/>
        <v/>
      </c>
      <c r="Z67" s="1006"/>
      <c r="AA67" s="941"/>
      <c r="AB67" s="1983"/>
      <c r="AN67" s="1957"/>
      <c r="AO67" s="1957"/>
      <c r="AP67" s="1957"/>
      <c r="AQ67" s="1957"/>
      <c r="AR67" s="1957"/>
      <c r="AS67" s="1957"/>
      <c r="AT67" s="1957"/>
      <c r="AU67" s="1957"/>
      <c r="AV67" s="1957"/>
      <c r="AW67" s="1957"/>
      <c r="AX67" s="1957"/>
      <c r="AY67" s="1957"/>
      <c r="AZ67" s="1957"/>
      <c r="BA67" s="1957"/>
      <c r="BB67" s="1957"/>
    </row>
    <row r="68" hidden="1">
      <c r="D68" s="1006"/>
      <c r="E68" s="1006"/>
      <c r="F68" s="1006"/>
      <c r="G68" s="1006"/>
      <c r="H68" s="1006"/>
      <c r="I68" s="1006"/>
      <c r="K68" s="1006"/>
      <c r="L68" s="1006"/>
      <c r="M68" s="1006"/>
      <c r="N68" s="1006"/>
      <c r="O68" s="1006"/>
      <c r="P68" s="1006"/>
      <c r="Q68" s="1006"/>
      <c r="R68" s="1006"/>
      <c r="S68" s="34"/>
      <c r="T68" s="34"/>
      <c r="U68" s="34"/>
      <c r="V68" s="34"/>
      <c r="W68" s="34"/>
      <c r="X68" s="34"/>
      <c r="Y68" s="34"/>
      <c r="Z68" s="34"/>
      <c r="AA68" s="34"/>
      <c r="AB68" s="34"/>
      <c r="AC68" s="34"/>
      <c r="AD68" s="88"/>
      <c r="AE68" s="88"/>
      <c r="AF68" s="88"/>
      <c r="AG68" s="88"/>
      <c r="AH68" s="88"/>
      <c r="AI68" s="88"/>
      <c r="AJ68" s="88"/>
      <c r="AK68" s="88"/>
      <c r="AL68" s="88"/>
      <c r="AM68" s="34"/>
      <c r="AN68" s="1957"/>
      <c r="AO68" s="1957"/>
      <c r="AP68" s="1988"/>
      <c r="AQ68" s="1471"/>
      <c r="AR68" s="1957"/>
      <c r="AS68" s="1957"/>
      <c r="AT68" s="1957"/>
      <c r="AU68" s="1957"/>
      <c r="AV68" s="1957"/>
      <c r="AW68" s="1957"/>
      <c r="AX68" s="1957"/>
      <c r="AY68" s="1957"/>
      <c r="AZ68" s="1957"/>
      <c r="BA68" s="1957"/>
      <c r="BB68" s="1957"/>
    </row>
    <row r="69" ht="44.25" customHeight="1">
      <c r="D69" s="1006"/>
      <c r="E69" s="1006"/>
      <c r="F69" s="1006"/>
      <c r="G69" s="1006"/>
      <c r="H69" s="1006"/>
      <c r="I69" s="1006"/>
      <c r="K69" s="1006"/>
      <c r="L69" s="1006"/>
      <c r="M69" s="1006"/>
      <c r="N69" s="1006"/>
      <c r="O69" s="1006"/>
      <c r="P69" s="1006"/>
      <c r="Q69" s="1006"/>
      <c r="R69" s="1006"/>
      <c r="S69" s="34"/>
      <c r="T69" s="34"/>
      <c r="U69" s="34"/>
      <c r="V69" s="34"/>
      <c r="W69" s="34"/>
      <c r="X69" s="34"/>
      <c r="Y69" s="34"/>
      <c r="Z69" s="34"/>
      <c r="AA69" s="34"/>
      <c r="AB69" s="34"/>
      <c r="AC69" s="34"/>
      <c r="AD69" s="88"/>
      <c r="AM69" s="34"/>
      <c r="AN69" s="1957"/>
      <c r="AO69" s="1957"/>
      <c r="AP69" s="1989" t="s">
        <v>116</v>
      </c>
      <c r="AQ69" s="1990">
        <v>2025.0</v>
      </c>
      <c r="AR69" s="1957"/>
      <c r="AS69" s="1957"/>
      <c r="AT69" s="1957"/>
      <c r="AU69" s="1957"/>
      <c r="AV69" s="1957"/>
      <c r="AW69" s="1957"/>
      <c r="AX69" s="1957"/>
      <c r="AY69" s="1957"/>
      <c r="AZ69" s="1957"/>
      <c r="BA69" s="1957"/>
      <c r="BB69" s="1957"/>
    </row>
    <row r="70" ht="15.0" customHeight="1">
      <c r="A70" s="126" t="s">
        <v>113</v>
      </c>
      <c r="AN70" s="1957"/>
      <c r="AO70" s="1957"/>
      <c r="AP70" s="1991"/>
      <c r="AQ70" s="1991"/>
      <c r="AR70" s="1957"/>
      <c r="AS70" s="1957"/>
      <c r="AT70" s="1957"/>
      <c r="AU70" s="1957"/>
      <c r="AV70" s="1957"/>
      <c r="AW70" s="1957"/>
      <c r="AX70" s="1957"/>
      <c r="AY70" s="1957"/>
      <c r="AZ70" s="1957"/>
      <c r="BA70" s="1957"/>
      <c r="BB70" s="1957"/>
    </row>
    <row r="71">
      <c r="AN71" s="1957"/>
      <c r="AO71" s="1957"/>
      <c r="AP71" s="1446" t="s">
        <v>638</v>
      </c>
      <c r="AQ71" s="1992">
        <v>2005.0</v>
      </c>
      <c r="AR71" s="1957"/>
      <c r="AS71" s="1957"/>
      <c r="AT71" s="1957"/>
      <c r="AU71" s="1957"/>
      <c r="AV71" s="1957"/>
      <c r="AW71" s="1957"/>
      <c r="AX71" s="1957"/>
      <c r="AY71" s="1957"/>
      <c r="AZ71" s="1957"/>
      <c r="BA71" s="1957"/>
      <c r="BB71" s="1957"/>
    </row>
    <row r="72" ht="15.75" customHeight="1">
      <c r="A72" s="90" t="s">
        <v>108</v>
      </c>
      <c r="B72" s="90"/>
      <c r="C72" s="90"/>
      <c r="D72" s="90"/>
      <c r="E72" s="90"/>
      <c r="F72" s="107"/>
      <c r="G72" s="107"/>
      <c r="H72" s="2297" t="s">
        <v>762</v>
      </c>
      <c r="I72" s="95"/>
      <c r="J72" s="95"/>
      <c r="K72" s="95"/>
      <c r="L72" s="95"/>
      <c r="M72" s="96"/>
      <c r="O72" s="736" t="s">
        <v>109</v>
      </c>
      <c r="Q72" s="101"/>
      <c r="R72" s="101"/>
      <c r="S72" s="2297" t="s">
        <v>762</v>
      </c>
      <c r="T72" s="95"/>
      <c r="U72" s="95"/>
      <c r="V72" s="95"/>
      <c r="W72" s="95"/>
      <c r="X72" s="96"/>
      <c r="Z72" s="1993" t="s">
        <v>718</v>
      </c>
      <c r="AB72" s="2297" t="s">
        <v>776</v>
      </c>
      <c r="AC72" s="95"/>
      <c r="AD72" s="95"/>
      <c r="AE72" s="95"/>
      <c r="AF72" s="95"/>
      <c r="AG72" s="96"/>
      <c r="AH72" s="103"/>
      <c r="AI72" s="103"/>
      <c r="AJ72" s="103"/>
      <c r="AN72" s="1957"/>
      <c r="AO72" s="1957"/>
      <c r="AP72" s="1994" t="s">
        <v>129</v>
      </c>
      <c r="AQ72" s="1994">
        <f>+AQ69-AQ71</f>
        <v>20</v>
      </c>
      <c r="AR72" s="1957"/>
      <c r="AS72" s="1957"/>
      <c r="AT72" s="1957"/>
      <c r="AU72" s="1957"/>
      <c r="AV72" s="1957"/>
      <c r="AW72" s="1957"/>
      <c r="AX72" s="1957"/>
      <c r="AY72" s="1957"/>
      <c r="AZ72" s="1957"/>
      <c r="BA72" s="1957"/>
      <c r="BB72" s="1957"/>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7"/>
      <c r="AO73" s="1957"/>
      <c r="AP73" s="1957"/>
      <c r="AQ73" s="1957"/>
      <c r="AR73" s="1957"/>
      <c r="AS73" s="1957"/>
      <c r="AT73" s="1957"/>
      <c r="AU73" s="1957"/>
      <c r="AV73" s="1957"/>
      <c r="AW73" s="1957"/>
      <c r="AX73" s="1957"/>
      <c r="AY73" s="1957"/>
      <c r="AZ73" s="1957"/>
      <c r="BA73" s="1957"/>
      <c r="BB73" s="1957"/>
    </row>
    <row r="74" ht="16.5" customHeight="1">
      <c r="A74" s="90" t="s">
        <v>111</v>
      </c>
      <c r="B74" s="90"/>
      <c r="C74" s="90"/>
      <c r="D74" s="90"/>
      <c r="E74" s="90"/>
      <c r="F74" s="90"/>
      <c r="G74" s="90"/>
      <c r="H74" s="2298" t="s">
        <v>693</v>
      </c>
      <c r="I74" s="95"/>
      <c r="J74" s="95"/>
      <c r="K74" s="95"/>
      <c r="L74" s="95"/>
      <c r="M74" s="95"/>
      <c r="N74" s="95"/>
      <c r="O74" s="95"/>
      <c r="P74" s="95"/>
      <c r="Q74" s="96"/>
      <c r="R74" s="106"/>
      <c r="S74" s="118" t="s">
        <v>112</v>
      </c>
      <c r="W74" s="1995" t="s">
        <v>777</v>
      </c>
      <c r="X74" s="120"/>
      <c r="Y74" s="120"/>
      <c r="Z74" s="120"/>
      <c r="AA74" s="120"/>
      <c r="AB74" s="120"/>
      <c r="AC74" s="121"/>
      <c r="AF74" s="1996" t="s">
        <v>719</v>
      </c>
      <c r="AG74" s="2299" t="s">
        <v>778</v>
      </c>
      <c r="AH74" s="1089"/>
      <c r="AI74" s="1089"/>
      <c r="AJ74" s="1089"/>
      <c r="AK74" s="1089"/>
      <c r="AL74" s="1089"/>
      <c r="AM74" s="169"/>
      <c r="AN74" s="1957"/>
      <c r="AO74" s="1957"/>
      <c r="AP74" s="1957"/>
      <c r="AQ74" s="1957"/>
      <c r="AR74" s="1957"/>
      <c r="AS74" s="1957"/>
      <c r="AT74" s="1957"/>
      <c r="AU74" s="1957"/>
      <c r="AV74" s="1957"/>
      <c r="AW74" s="1957"/>
      <c r="AX74" s="1957"/>
      <c r="AY74" s="1957"/>
      <c r="AZ74" s="1957"/>
      <c r="BA74" s="1957"/>
      <c r="BB74" s="1957"/>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7"/>
      <c r="AO75" s="1998" t="s">
        <v>641</v>
      </c>
      <c r="AP75" s="1957"/>
      <c r="AQ75" s="1999"/>
      <c r="AR75" s="1471"/>
      <c r="AS75" s="1957"/>
      <c r="AT75" s="1957"/>
      <c r="AU75" s="1957"/>
      <c r="AV75" s="1957"/>
      <c r="AW75" s="1957"/>
      <c r="AX75" s="1957"/>
      <c r="AY75" s="1957"/>
      <c r="AZ75" s="1957"/>
      <c r="BA75" s="1957"/>
      <c r="BB75" s="1957"/>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7"/>
      <c r="AO76" s="2000"/>
      <c r="AP76" s="1471"/>
      <c r="AQ76" s="1999"/>
      <c r="AR76" s="1471"/>
      <c r="AS76" s="1471"/>
      <c r="AT76" s="1471"/>
      <c r="AU76" s="1471"/>
      <c r="AV76" s="1471"/>
      <c r="AW76" s="1471"/>
      <c r="AX76" s="1957"/>
      <c r="AY76" s="1957"/>
      <c r="AZ76" s="1957"/>
      <c r="BA76" s="1957"/>
      <c r="BB76" s="1957"/>
    </row>
    <row r="77" ht="12.75" customHeight="1">
      <c r="A77" s="128" t="s">
        <v>114</v>
      </c>
      <c r="D77" s="90"/>
      <c r="E77" s="90"/>
      <c r="F77" s="92"/>
      <c r="G77" s="92"/>
      <c r="H77" s="1435" t="str">
        <f>+CONCATENATE(AQ77," ",AR77,", ",AQ78," ",AR78,", ",AQ79," ",AR79,", ",AQ80," ",AR80,", ",AQ81," ",AR81,", ",AQ82," ",AR82,", ",AQ83," ",AR83,", ",AQ84," ",AR84,", ",AQ85," ",AR85,".", )</f>
        <v>SERVICIOS BÁSICOS: COMPLETOS, AGUA POTABLE: ENTUBADA, DRENAJE: ENTUBADO, ENERGÍA ELÉCTRICA: CON CABLEADO AÉREO,  CON CILINDROS, ALUMBRADO EXTERIOR: CON CABLEADO AÉREO, LÍNEAS TELEFÓNICAS: CON CABLEADO AÉREO, VIALIDADES: DE ASFALTO, TRANSPORTE: URBANO.</v>
      </c>
      <c r="I77" s="1436"/>
      <c r="J77" s="1436"/>
      <c r="K77" s="1436"/>
      <c r="L77" s="1436"/>
      <c r="M77" s="1436"/>
      <c r="N77" s="1436"/>
      <c r="O77" s="1436"/>
      <c r="P77" s="1436"/>
      <c r="Q77" s="1436"/>
      <c r="R77" s="1436"/>
      <c r="S77" s="1436"/>
      <c r="T77" s="1436"/>
      <c r="U77" s="1436"/>
      <c r="V77" s="1436"/>
      <c r="W77" s="1436"/>
      <c r="X77" s="1436"/>
      <c r="Y77" s="1436"/>
      <c r="Z77" s="1436"/>
      <c r="AA77" s="1436"/>
      <c r="AB77" s="1436"/>
      <c r="AC77" s="1436"/>
      <c r="AD77" s="1436"/>
      <c r="AE77" s="1436"/>
      <c r="AF77" s="1436"/>
      <c r="AG77" s="1436"/>
      <c r="AH77" s="1436"/>
      <c r="AI77" s="1436"/>
      <c r="AJ77" s="1436"/>
      <c r="AK77" s="1436"/>
      <c r="AL77" s="1437"/>
      <c r="AN77" s="1957"/>
      <c r="AO77" s="1462"/>
      <c r="AP77" s="1463"/>
      <c r="AQ77" s="1464" t="s">
        <v>140</v>
      </c>
      <c r="AR77" s="1465" t="s">
        <v>779</v>
      </c>
      <c r="AS77" s="1466"/>
      <c r="AT77" s="1467"/>
      <c r="AU77" s="1957"/>
      <c r="AV77" s="1957"/>
      <c r="AW77" s="1957"/>
      <c r="AX77" s="1957"/>
      <c r="AY77" s="1957"/>
      <c r="AZ77" s="1957"/>
      <c r="BA77" s="1957"/>
      <c r="BB77" s="1957"/>
    </row>
    <row r="78" ht="14.25" customHeight="1">
      <c r="A78" s="132"/>
      <c r="B78" s="132"/>
      <c r="C78" s="133"/>
      <c r="D78" s="133"/>
      <c r="E78" s="56"/>
      <c r="F78" s="56"/>
      <c r="G78" s="56"/>
      <c r="H78" s="1438"/>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40"/>
      <c r="AN78" s="1957"/>
      <c r="AO78" s="1470"/>
      <c r="AP78" s="1471"/>
      <c r="AQ78" s="1472" t="s">
        <v>141</v>
      </c>
      <c r="AR78" s="1473" t="s">
        <v>780</v>
      </c>
      <c r="AT78" s="1474"/>
      <c r="AU78" s="1957"/>
      <c r="AV78" s="1957"/>
      <c r="AW78" s="1957"/>
      <c r="AX78" s="1957"/>
      <c r="AY78" s="1957"/>
      <c r="AZ78" s="1957"/>
      <c r="BA78" s="1957"/>
      <c r="BB78" s="1957"/>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7"/>
      <c r="AO79" s="1470"/>
      <c r="AP79" s="1471"/>
      <c r="AQ79" s="1472" t="s">
        <v>143</v>
      </c>
      <c r="AR79" s="1473" t="s">
        <v>781</v>
      </c>
      <c r="AT79" s="1474"/>
      <c r="AU79" s="1957"/>
      <c r="AV79" s="1957"/>
      <c r="AW79" s="1957"/>
      <c r="AX79" s="1957"/>
      <c r="AY79" s="1957"/>
      <c r="AZ79" s="1957"/>
      <c r="BA79" s="1957"/>
      <c r="BB79" s="1957"/>
    </row>
    <row r="80">
      <c r="A80" s="128" t="s">
        <v>115</v>
      </c>
      <c r="B80" s="132"/>
      <c r="C80" s="133"/>
      <c r="D80" s="133"/>
      <c r="E80" s="56"/>
      <c r="F80" s="56"/>
      <c r="G80" s="56"/>
      <c r="H80" s="2300" t="s">
        <v>782</v>
      </c>
      <c r="I80" s="1431"/>
      <c r="J80" s="1431"/>
      <c r="K80" s="1431"/>
      <c r="L80" s="1431"/>
      <c r="M80" s="1431"/>
      <c r="N80" s="1431"/>
      <c r="O80" s="1431"/>
      <c r="P80" s="1431"/>
      <c r="Q80" s="1431"/>
      <c r="R80" s="1431"/>
      <c r="S80" s="1431"/>
      <c r="T80" s="1431"/>
      <c r="U80" s="1431"/>
      <c r="V80" s="1431"/>
      <c r="W80" s="1431"/>
      <c r="X80" s="1432"/>
      <c r="Z80" s="2002" t="s">
        <v>720</v>
      </c>
      <c r="AE80" s="2003">
        <f>Query_Formato!B45</f>
        <v>1</v>
      </c>
      <c r="AF80" s="169"/>
      <c r="AJ80" s="2301" t="s">
        <v>783</v>
      </c>
      <c r="AN80" s="1957"/>
      <c r="AO80" s="1470"/>
      <c r="AP80" s="1471"/>
      <c r="AQ80" s="1472" t="s">
        <v>144</v>
      </c>
      <c r="AR80" s="1473" t="s">
        <v>784</v>
      </c>
      <c r="AT80" s="1474"/>
      <c r="AU80" s="1957"/>
      <c r="AV80" s="1957"/>
      <c r="AW80" s="178"/>
      <c r="AX80" s="122" t="s">
        <v>137</v>
      </c>
      <c r="AY80" s="34"/>
      <c r="AZ80" s="178"/>
      <c r="BA80" s="1957"/>
      <c r="BB80" s="1957"/>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957"/>
      <c r="AO81" s="1470"/>
      <c r="AP81" s="1471"/>
      <c r="AQ81" s="1472"/>
      <c r="AR81" s="1473" t="s">
        <v>785</v>
      </c>
      <c r="AT81" s="1474"/>
      <c r="AU81" s="1957"/>
      <c r="AV81" s="1957"/>
      <c r="AW81" s="190" t="str">
        <f>+CONCATENATE(VLOOKUP(M86,'catalogo 2'!E134:F139,2,FALSE),".",VLOOKUP('OPI Constr'!R86,'catalogo 2'!G134:H139,2,FALSE),".",VLOOKUP('OPI Constr'!W86,'catalogo 2'!I134:J142,2,FALSE),".",VLOOKUP('OPI Constr'!AB86,'catalogo 2'!L134:M142,2,FALSE))</f>
        <v>SM2.S.RM+.R</v>
      </c>
      <c r="AX81" s="120"/>
      <c r="AY81" s="120"/>
      <c r="AZ81" s="121"/>
      <c r="BA81" s="1957"/>
      <c r="BB81" s="1957"/>
    </row>
    <row r="82">
      <c r="C82" s="147"/>
      <c r="D82" s="147"/>
      <c r="E82" s="147"/>
      <c r="F82" s="147"/>
      <c r="G82" s="147"/>
      <c r="H82" s="147"/>
      <c r="K82" s="148"/>
      <c r="L82" s="148"/>
      <c r="M82" s="148"/>
      <c r="N82" s="148"/>
      <c r="O82" s="148"/>
      <c r="P82" s="148"/>
      <c r="Q82" s="148"/>
      <c r="R82" s="34"/>
      <c r="S82" s="34"/>
      <c r="T82" s="34"/>
      <c r="U82" s="1442" t="s">
        <v>117</v>
      </c>
      <c r="W82" s="1443" t="s">
        <v>118</v>
      </c>
      <c r="X82" s="148"/>
      <c r="Z82" s="1444" t="s">
        <v>119</v>
      </c>
      <c r="AB82" s="152" t="s">
        <v>120</v>
      </c>
      <c r="AD82" s="148"/>
      <c r="AE82" s="153" t="s">
        <v>121</v>
      </c>
      <c r="AG82" s="154" t="s">
        <v>122</v>
      </c>
      <c r="AH82" s="155"/>
      <c r="AJ82" s="155"/>
      <c r="AK82" s="155"/>
      <c r="AL82" s="155"/>
      <c r="AM82" s="148"/>
      <c r="AN82" s="1957"/>
      <c r="AO82" s="1470"/>
      <c r="AP82" s="1471"/>
      <c r="AQ82" s="1472" t="s">
        <v>146</v>
      </c>
      <c r="AR82" s="1473" t="s">
        <v>784</v>
      </c>
      <c r="AT82" s="1474"/>
      <c r="AU82" s="1957"/>
      <c r="AV82" s="1957"/>
      <c r="AW82" s="1957"/>
      <c r="AX82" s="1957"/>
      <c r="AY82" s="1957"/>
      <c r="AZ82" s="1957"/>
      <c r="BA82" s="1957"/>
      <c r="BB82" s="1957"/>
    </row>
    <row r="83" ht="24.75" customHeight="1">
      <c r="A83" s="147" t="s">
        <v>126</v>
      </c>
      <c r="B83" s="147"/>
      <c r="C83" s="147"/>
      <c r="D83" s="147"/>
      <c r="E83" s="159" t="s">
        <v>786</v>
      </c>
      <c r="F83" s="120"/>
      <c r="G83" s="121"/>
      <c r="H83" s="147"/>
      <c r="I83" s="160" t="str">
        <f>UPPER(CONCATENATE(VLOOKUP(E83,'catalogo 2'!L5:N103,2,0)," ",(VLOOKUP(E83,'catalogo 2'!L5:N103,3,0))))</f>
        <v>HABITACIONAL DENSIDAD ALTA </v>
      </c>
      <c r="J83" s="120"/>
      <c r="K83" s="120"/>
      <c r="L83" s="120"/>
      <c r="M83" s="120"/>
      <c r="N83" s="120"/>
      <c r="O83" s="120"/>
      <c r="P83" s="120"/>
      <c r="Q83" s="120"/>
      <c r="R83" s="120"/>
      <c r="S83" s="121"/>
      <c r="T83" s="34"/>
      <c r="U83" s="1067">
        <f>VLOOKUP(E83,'catalogo 2'!L4:AI84,14,0)</f>
        <v>0.8</v>
      </c>
      <c r="V83" s="121"/>
      <c r="W83" s="2302">
        <v>2.0</v>
      </c>
      <c r="X83" s="121"/>
      <c r="Z83" s="164">
        <f>VLOOKUP(E83,'catalogo 2'!L4:AI84,11,0)</f>
        <v>6</v>
      </c>
      <c r="AA83" s="120"/>
      <c r="AB83" s="166" t="str">
        <f>VLOOKUP(E83,'catalogo 2'!L4:AI84,10,0)</f>
        <v>90 m2</v>
      </c>
      <c r="AC83" s="121"/>
      <c r="AD83" s="148"/>
      <c r="AE83" s="1069">
        <f>VLOOKUP(E83,'catalogo 2'!L4:AI84,18,0)</f>
        <v>1</v>
      </c>
      <c r="AF83" s="121"/>
      <c r="AG83" s="2007">
        <v>0.98</v>
      </c>
      <c r="AH83" s="169"/>
      <c r="AJ83" s="2007">
        <v>1.0</v>
      </c>
      <c r="AK83" s="1089"/>
      <c r="AL83" s="169"/>
      <c r="AM83" s="148"/>
      <c r="AN83" s="1957"/>
      <c r="AO83" s="1470"/>
      <c r="AP83" s="1471"/>
      <c r="AQ83" s="1472" t="s">
        <v>147</v>
      </c>
      <c r="AR83" s="1473" t="s">
        <v>784</v>
      </c>
      <c r="AT83" s="1474"/>
      <c r="AU83" s="2008"/>
      <c r="AV83" s="2008"/>
      <c r="AW83" s="2008"/>
      <c r="AX83" s="1957"/>
      <c r="AY83" s="1957"/>
      <c r="AZ83" s="1957"/>
      <c r="BA83" s="1957"/>
      <c r="BB83" s="1957"/>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7"/>
      <c r="AO84" s="1470"/>
      <c r="AP84" s="1471"/>
      <c r="AQ84" s="1472" t="s">
        <v>149</v>
      </c>
      <c r="AR84" s="2303" t="s">
        <v>787</v>
      </c>
      <c r="AT84" s="1474"/>
      <c r="AU84" s="2008"/>
      <c r="AV84" s="2008"/>
      <c r="AW84" s="2008"/>
      <c r="AX84" s="1957"/>
      <c r="AY84" s="1957"/>
      <c r="AZ84" s="1957"/>
      <c r="BA84" s="1957"/>
      <c r="BB84" s="1957"/>
    </row>
    <row r="85" ht="9.0" customHeight="1">
      <c r="A85" s="122" t="s">
        <v>130</v>
      </c>
      <c r="B85" s="122"/>
      <c r="C85" s="122"/>
      <c r="D85" s="122"/>
      <c r="E85" s="176"/>
      <c r="F85" s="177" t="s">
        <v>131</v>
      </c>
      <c r="I85" s="122" t="s">
        <v>132</v>
      </c>
      <c r="J85" s="122"/>
      <c r="K85" s="122"/>
      <c r="M85" s="122" t="s">
        <v>133</v>
      </c>
      <c r="N85" s="122"/>
      <c r="O85" s="122"/>
      <c r="P85" s="122"/>
      <c r="S85" s="122" t="s">
        <v>134</v>
      </c>
      <c r="U85" s="122"/>
      <c r="X85" s="122" t="s">
        <v>135</v>
      </c>
      <c r="Y85" s="178"/>
      <c r="Z85" s="178"/>
      <c r="AC85" s="178" t="s">
        <v>136</v>
      </c>
      <c r="AD85" s="178"/>
      <c r="AE85" s="178"/>
      <c r="AF85" s="152" t="s">
        <v>723</v>
      </c>
      <c r="AJ85" s="2009" t="s">
        <v>724</v>
      </c>
      <c r="AN85" s="1957"/>
      <c r="AO85" s="1482"/>
      <c r="AP85" s="1483"/>
      <c r="AQ85" s="1484" t="s">
        <v>150</v>
      </c>
      <c r="AR85" s="1485" t="s">
        <v>788</v>
      </c>
      <c r="AS85" s="1486"/>
      <c r="AT85" s="1487"/>
      <c r="AU85" s="2008"/>
      <c r="AV85" s="2008"/>
      <c r="AW85" s="2008"/>
      <c r="AX85" s="1957"/>
      <c r="AY85" s="1957"/>
      <c r="AZ85" s="1957"/>
      <c r="BA85" s="1957"/>
      <c r="BB85" s="1957"/>
    </row>
    <row r="86">
      <c r="A86" s="180">
        <f>YEAR(TODAY()) - AQ71
</f>
        <v>21</v>
      </c>
      <c r="B86" s="95"/>
      <c r="C86" s="95"/>
      <c r="D86" s="96"/>
      <c r="E86" s="181"/>
      <c r="F86" s="182">
        <f>IF(OR(R86="MEDIO",R86="SUPERIOR",R86="LUJO"),70,60)</f>
        <v>70</v>
      </c>
      <c r="G86" s="183"/>
      <c r="H86" s="92"/>
      <c r="I86" s="180">
        <f>IF(OR(R86="MEDIO",R86="SUPERIOR",R86="LUJO"),70,60)-A86</f>
        <v>49</v>
      </c>
      <c r="J86" s="95"/>
      <c r="K86" s="96"/>
      <c r="M86" s="184" t="str">
        <f>VLOOKUP(A86,'catalogo 2'!C124:F132,4)</f>
        <v>SEMI MODERNO 2</v>
      </c>
      <c r="N86" s="185"/>
      <c r="O86" s="185"/>
      <c r="P86" s="183"/>
      <c r="Q86" s="92"/>
      <c r="R86" s="2304" t="s">
        <v>579</v>
      </c>
      <c r="S86" s="120"/>
      <c r="T86" s="120"/>
      <c r="U86" s="121"/>
      <c r="W86" s="2305" t="s">
        <v>789</v>
      </c>
      <c r="X86" s="120"/>
      <c r="Y86" s="120"/>
      <c r="Z86" s="121"/>
      <c r="AB86" s="2013" t="s">
        <v>790</v>
      </c>
      <c r="AC86" s="120"/>
      <c r="AD86" s="120"/>
      <c r="AE86" s="120"/>
      <c r="AF86" s="189"/>
      <c r="AG86" s="2306" t="s">
        <v>128</v>
      </c>
      <c r="AH86" s="1089"/>
      <c r="AI86" s="169"/>
      <c r="AJ86" s="2015"/>
      <c r="AK86" s="1071">
        <f>Query_Formato!B43</f>
        <v>1</v>
      </c>
      <c r="AL86" s="169"/>
      <c r="AN86" s="1957"/>
      <c r="AO86" s="1471"/>
      <c r="AP86" s="1471"/>
      <c r="AQ86" s="1957"/>
      <c r="AR86" s="1957"/>
      <c r="AS86" s="1957"/>
      <c r="AT86" s="1957"/>
      <c r="AU86" s="2008"/>
      <c r="AV86" s="2008"/>
      <c r="AW86" s="2008"/>
      <c r="AX86" s="1957"/>
      <c r="AY86" s="1957"/>
      <c r="AZ86" s="1957"/>
      <c r="BA86" s="1957"/>
      <c r="BB86" s="1957"/>
    </row>
    <row r="87" ht="6.0" customHeight="1">
      <c r="A87" s="2016"/>
      <c r="B87" s="2016"/>
      <c r="C87" s="2016"/>
      <c r="D87" s="2016"/>
      <c r="E87" s="181"/>
      <c r="F87" s="2017"/>
      <c r="G87" s="2017"/>
      <c r="H87" s="92"/>
      <c r="I87" s="2018"/>
      <c r="J87" s="2018"/>
      <c r="K87" s="2018"/>
      <c r="L87" s="2018"/>
      <c r="M87" s="2018"/>
      <c r="N87" s="2018"/>
      <c r="O87" s="2018"/>
      <c r="P87" s="2018"/>
      <c r="Q87" s="92"/>
      <c r="R87" s="2019"/>
      <c r="S87" s="103"/>
      <c r="T87" s="103"/>
      <c r="U87" s="92"/>
      <c r="V87" s="34"/>
      <c r="W87" s="2020"/>
      <c r="X87" s="92"/>
      <c r="Y87" s="92"/>
      <c r="Z87" s="2021"/>
      <c r="AA87" s="2021"/>
      <c r="AB87" s="2021"/>
      <c r="AC87" s="2021"/>
      <c r="AD87" s="2021"/>
      <c r="AE87" s="2021"/>
      <c r="AF87" s="2021"/>
      <c r="AG87" s="196"/>
      <c r="AH87" s="196"/>
      <c r="AI87" s="196"/>
      <c r="AJ87" s="196"/>
      <c r="AK87" s="191"/>
      <c r="AL87" s="506"/>
      <c r="AM87" s="2022"/>
      <c r="AN87" s="1471"/>
      <c r="AO87" s="2023" t="s">
        <v>725</v>
      </c>
      <c r="AP87" s="2023" t="s">
        <v>104</v>
      </c>
      <c r="AQ87" s="2024" t="s">
        <v>726</v>
      </c>
      <c r="AR87" s="1957"/>
      <c r="AS87" s="1957"/>
      <c r="AT87" s="1957"/>
      <c r="AU87" s="1957"/>
      <c r="AV87" s="1957"/>
      <c r="AW87" s="1957"/>
      <c r="AX87" s="1471"/>
      <c r="AY87" s="1471"/>
      <c r="AZ87" s="1471"/>
      <c r="BA87" s="1471"/>
      <c r="BB87" s="1471"/>
      <c r="BC87" s="34"/>
      <c r="BD87" s="34"/>
      <c r="BE87" s="34"/>
      <c r="BF87" s="34"/>
      <c r="BG87" s="34"/>
      <c r="BH87" s="34"/>
      <c r="BI87" s="34"/>
      <c r="BJ87" s="34"/>
      <c r="BK87" s="34"/>
      <c r="BL87" s="34"/>
      <c r="BM87" s="34"/>
      <c r="BN87" s="34"/>
      <c r="BO87" s="34"/>
      <c r="BP87" s="34"/>
      <c r="BQ87" s="34"/>
      <c r="BR87" s="34"/>
    </row>
    <row r="88" ht="19.5" customHeight="1">
      <c r="A88" s="2025" t="s">
        <v>139</v>
      </c>
      <c r="B88" s="198"/>
      <c r="D88" s="197"/>
      <c r="E88" s="101"/>
      <c r="F88" s="101"/>
      <c r="G88" s="101"/>
      <c r="H88" s="101"/>
      <c r="I88" s="2026" t="s">
        <v>791</v>
      </c>
      <c r="V88" s="2025"/>
      <c r="X88" s="2027" t="str">
        <f>VLOOKUP("3.jp*g",Fotos!$A$2:$E371,5,FALSE)</f>
        <v/>
      </c>
      <c r="AN88" s="2028"/>
      <c r="AO88" s="1957"/>
      <c r="AP88" s="1957"/>
      <c r="AQ88" s="1957"/>
      <c r="AR88" s="1957"/>
      <c r="AS88" s="1957"/>
      <c r="AT88" s="1957"/>
      <c r="AU88" s="1471"/>
      <c r="AV88" s="1957"/>
      <c r="AW88" s="1957"/>
      <c r="AX88" s="1957"/>
      <c r="AY88" s="1957"/>
      <c r="AZ88" s="1957"/>
      <c r="BA88" s="1957"/>
      <c r="BB88" s="1957"/>
    </row>
    <row r="89" ht="15.0" customHeight="1">
      <c r="A89" s="198"/>
      <c r="B89" s="198"/>
      <c r="C89" s="34"/>
      <c r="D89" s="200"/>
      <c r="E89" s="200"/>
      <c r="F89" s="200"/>
      <c r="G89" s="200"/>
      <c r="H89" s="200"/>
      <c r="I89" s="200"/>
      <c r="J89" s="200"/>
      <c r="K89" s="200"/>
      <c r="L89" s="200"/>
      <c r="M89" s="200"/>
      <c r="N89" s="200"/>
      <c r="O89" s="200"/>
      <c r="P89" s="200"/>
      <c r="Q89" s="200"/>
      <c r="R89" s="200"/>
      <c r="S89" s="2029"/>
      <c r="T89" s="1668"/>
      <c r="U89" s="2030"/>
      <c r="AN89" s="2028"/>
      <c r="AO89" s="2031" t="s">
        <v>727</v>
      </c>
      <c r="AP89" s="2032"/>
      <c r="AQ89" s="2032"/>
      <c r="AR89" s="2032"/>
      <c r="AS89" s="2032"/>
      <c r="AT89" s="2032"/>
      <c r="AU89" s="2032"/>
      <c r="AV89" s="2032"/>
      <c r="AW89" s="2033"/>
      <c r="AX89" s="1957"/>
      <c r="AY89" s="1957"/>
      <c r="AZ89" s="1957"/>
      <c r="BA89" s="1957"/>
      <c r="BB89" s="1957"/>
    </row>
    <row r="90" ht="12.75" customHeight="1">
      <c r="A90" s="2034" t="s">
        <v>142</v>
      </c>
      <c r="D90" s="213"/>
      <c r="E90" s="1092" t="s">
        <v>775</v>
      </c>
      <c r="G90" s="1093"/>
      <c r="H90" s="1094" t="s">
        <v>775</v>
      </c>
      <c r="AN90" s="2028"/>
      <c r="AO90" s="2035" t="s">
        <v>792</v>
      </c>
      <c r="AP90" s="2036"/>
      <c r="AQ90" s="2035"/>
      <c r="AR90" s="2037"/>
      <c r="AS90" s="2036"/>
      <c r="AT90" s="2035"/>
      <c r="AU90" s="2036"/>
      <c r="AV90" s="2035"/>
      <c r="AW90" s="2036"/>
      <c r="AX90" s="1957"/>
      <c r="AY90" s="1957"/>
      <c r="AZ90" s="1957"/>
      <c r="BA90" s="1957"/>
      <c r="BB90" s="1957"/>
    </row>
    <row r="91" ht="15.0" customHeight="1">
      <c r="A91" s="212" t="str">
        <f>IF($A$90="norte","Sur","Sureste")</f>
        <v>Sur</v>
      </c>
      <c r="D91" s="217"/>
      <c r="E91" s="1092" t="s">
        <v>775</v>
      </c>
      <c r="G91" s="1095"/>
      <c r="H91" s="1094" t="s">
        <v>775</v>
      </c>
      <c r="AN91" s="2028"/>
      <c r="AO91" s="2038" t="s">
        <v>729</v>
      </c>
      <c r="AP91" s="2039" t="s">
        <v>730</v>
      </c>
      <c r="AQ91" s="2038" t="s">
        <v>729</v>
      </c>
      <c r="AR91" s="2039" t="s">
        <v>730</v>
      </c>
      <c r="AS91" s="2040"/>
      <c r="AT91" s="2038" t="s">
        <v>729</v>
      </c>
      <c r="AU91" s="2041" t="s">
        <v>730</v>
      </c>
      <c r="AV91" s="2039" t="s">
        <v>729</v>
      </c>
      <c r="AW91" s="2041" t="s">
        <v>730</v>
      </c>
      <c r="AX91" s="1957"/>
      <c r="AY91" s="1957"/>
      <c r="AZ91" s="1957"/>
      <c r="BA91" s="1957"/>
      <c r="BB91" s="1957"/>
    </row>
    <row r="92" ht="15.0" customHeight="1">
      <c r="A92" s="212" t="str">
        <f>IF($A$90="norte","Este","Noroeste")</f>
        <v>Este</v>
      </c>
      <c r="D92" s="217"/>
      <c r="E92" s="1092" t="s">
        <v>775</v>
      </c>
      <c r="G92" s="1095"/>
      <c r="H92" s="1094" t="s">
        <v>775</v>
      </c>
      <c r="AN92" s="2028"/>
      <c r="AO92" s="2042">
        <v>1.0</v>
      </c>
      <c r="AP92" s="2043" t="s">
        <v>793</v>
      </c>
      <c r="AQ92" s="2042"/>
      <c r="AR92" s="2043"/>
      <c r="AT92" s="2042"/>
      <c r="AU92" s="2044"/>
      <c r="AV92" s="2042"/>
      <c r="AW92" s="2044"/>
      <c r="AX92" s="1957"/>
      <c r="AY92" s="1957"/>
      <c r="AZ92" s="1957"/>
      <c r="BA92" s="1957"/>
      <c r="BB92" s="1957"/>
    </row>
    <row r="93" ht="15.0" customHeight="1">
      <c r="A93" s="212" t="str">
        <f>IF($A$90="norte","Oeste","Suroeste")</f>
        <v>Oeste</v>
      </c>
      <c r="D93" s="217"/>
      <c r="E93" s="1092" t="s">
        <v>775</v>
      </c>
      <c r="G93" s="1095"/>
      <c r="H93" s="1094" t="s">
        <v>775</v>
      </c>
      <c r="AN93" s="2028"/>
      <c r="AO93" s="2042">
        <v>1.0</v>
      </c>
      <c r="AP93" s="2043" t="s">
        <v>794</v>
      </c>
      <c r="AQ93" s="2042"/>
      <c r="AR93" s="2045"/>
      <c r="AS93" s="1858"/>
      <c r="AT93" s="2042"/>
      <c r="AU93" s="2044"/>
      <c r="AV93" s="2042"/>
      <c r="AW93" s="2044"/>
      <c r="AX93" s="1957"/>
      <c r="AY93" s="1957"/>
      <c r="AZ93" s="1957"/>
      <c r="BA93" s="1957"/>
      <c r="BB93" s="1957"/>
    </row>
    <row r="94" ht="15.0" customHeight="1">
      <c r="S94" s="1043"/>
      <c r="T94" s="1043"/>
      <c r="U94" s="1043"/>
      <c r="AN94" s="2028"/>
      <c r="AO94" s="2042">
        <v>1.0</v>
      </c>
      <c r="AP94" s="2043" t="s">
        <v>795</v>
      </c>
      <c r="AQ94" s="2042"/>
      <c r="AR94" s="2045"/>
      <c r="AS94" s="1858"/>
      <c r="AT94" s="2042"/>
      <c r="AU94" s="2044"/>
      <c r="AV94" s="2042"/>
      <c r="AW94" s="2044"/>
      <c r="AX94" s="2008"/>
      <c r="AY94" s="2008"/>
      <c r="AZ94" s="2008"/>
      <c r="BA94" s="2008"/>
      <c r="BB94" s="2008"/>
      <c r="BC94" s="224"/>
      <c r="BD94" s="224"/>
      <c r="BE94" s="224"/>
      <c r="BF94" s="224"/>
      <c r="BG94" s="224"/>
      <c r="BH94" s="224"/>
    </row>
    <row r="95" ht="12.0" customHeight="1">
      <c r="A95" s="44" t="s">
        <v>148</v>
      </c>
      <c r="R95" s="220"/>
      <c r="S95" s="1043"/>
      <c r="T95" s="1043"/>
      <c r="U95" s="1043"/>
      <c r="AN95" s="2028"/>
      <c r="AO95" s="2042">
        <v>3.0</v>
      </c>
      <c r="AP95" s="2043" t="s">
        <v>454</v>
      </c>
      <c r="AQ95" s="2042"/>
      <c r="AR95" s="2046"/>
      <c r="AS95" s="1858"/>
      <c r="AT95" s="2042"/>
      <c r="AU95" s="2044"/>
      <c r="AV95" s="2042"/>
      <c r="AW95" s="2044"/>
      <c r="AX95" s="2008"/>
      <c r="AY95" s="2008"/>
      <c r="AZ95" s="2008"/>
      <c r="BA95" s="2008"/>
      <c r="BB95" s="2008"/>
      <c r="BC95" s="224"/>
      <c r="BD95" s="224"/>
      <c r="BE95" s="224"/>
      <c r="BF95" s="224"/>
      <c r="BG95" s="224"/>
      <c r="BH95" s="224"/>
      <c r="BI95" s="34"/>
      <c r="BJ95" s="34"/>
      <c r="BK95" s="34"/>
      <c r="BL95" s="34"/>
      <c r="BM95" s="34"/>
      <c r="BN95" s="34"/>
      <c r="BO95" s="34"/>
      <c r="BP95" s="34"/>
      <c r="BQ95" s="34"/>
      <c r="BR95" s="34"/>
    </row>
    <row r="96" ht="11.25" customHeight="1">
      <c r="A96" s="2047"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1 NIVEL(ES), DISTRIBUIDA EN: NIVEL 0 - PLANTA BAJA CON:  1 Sala, 1 Comedor, 1 Cocina, 3 Recamaras, 2 Baños, 1 Patio")</f>
        <v>Casa Habitación DE 1 NIVEL(ES), DISTRIBUIDA EN: NIVEL 0 - PLANTA BAJA CON:  1 Sala, 1 Comedor, 1 Cocina, 3 Recamaras, 2 Baños, 1 Patio</v>
      </c>
      <c r="AN96" s="2028"/>
      <c r="AO96" s="2042">
        <v>2.0</v>
      </c>
      <c r="AP96" s="2043" t="s">
        <v>456</v>
      </c>
      <c r="AQ96" s="2042"/>
      <c r="AR96" s="2046"/>
      <c r="AS96" s="1858"/>
      <c r="AT96" s="2042"/>
      <c r="AU96" s="2044"/>
      <c r="AV96" s="2042"/>
      <c r="AW96" s="2044"/>
      <c r="AX96" s="2008"/>
      <c r="AY96" s="2008"/>
      <c r="AZ96" s="2008"/>
      <c r="BA96" s="2008"/>
      <c r="BB96" s="2008"/>
      <c r="BC96" s="224"/>
      <c r="BD96" s="224"/>
      <c r="BE96" s="224"/>
      <c r="BF96" s="224"/>
      <c r="BG96" s="224"/>
      <c r="BH96" s="224"/>
    </row>
    <row r="97" ht="13.5" customHeight="1">
      <c r="AN97" s="2028"/>
      <c r="AO97" s="2042">
        <v>1.0</v>
      </c>
      <c r="AP97" s="2043" t="s">
        <v>796</v>
      </c>
      <c r="AQ97" s="2042"/>
      <c r="AR97" s="2046"/>
      <c r="AS97" s="1858"/>
      <c r="AT97" s="2042"/>
      <c r="AU97" s="2044"/>
      <c r="AV97" s="2042"/>
      <c r="AW97" s="2044"/>
      <c r="AX97" s="2008"/>
      <c r="AY97" s="2008"/>
      <c r="AZ97" s="2008"/>
      <c r="BA97" s="2008"/>
      <c r="BB97" s="2008"/>
      <c r="BC97" s="224"/>
      <c r="BD97" s="224"/>
      <c r="BE97" s="224"/>
      <c r="BF97" s="224"/>
      <c r="BG97" s="224"/>
      <c r="BH97" s="224"/>
    </row>
    <row r="98" ht="14.25" customHeight="1">
      <c r="AN98" s="2028"/>
      <c r="AO98" s="2042"/>
      <c r="AP98" s="2043"/>
      <c r="AQ98" s="2042"/>
      <c r="AR98" s="2043"/>
      <c r="AT98" s="2042"/>
      <c r="AU98" s="2044"/>
      <c r="AV98" s="2042"/>
      <c r="AW98" s="2044"/>
      <c r="AX98" s="2008"/>
      <c r="AY98" s="2008"/>
      <c r="AZ98" s="2008"/>
      <c r="BA98" s="2008"/>
      <c r="BB98" s="2008"/>
      <c r="BC98" s="224"/>
      <c r="BD98" s="224"/>
      <c r="BE98" s="224"/>
      <c r="BF98" s="224"/>
      <c r="BG98" s="224"/>
      <c r="BH98" s="224"/>
    </row>
    <row r="99" ht="12.0" customHeight="1">
      <c r="AN99" s="1957"/>
      <c r="AO99" s="2042"/>
      <c r="AP99" s="2043"/>
      <c r="AQ99" s="2042"/>
      <c r="AR99" s="2046"/>
      <c r="AS99" s="1858"/>
      <c r="AT99" s="2042"/>
      <c r="AU99" s="2044"/>
      <c r="AV99" s="2042"/>
      <c r="AW99" s="2044"/>
      <c r="AX99" s="2008"/>
      <c r="AY99" s="2008"/>
      <c r="AZ99" s="2008"/>
      <c r="BA99" s="2008"/>
      <c r="BB99" s="2008"/>
      <c r="BC99" s="224"/>
      <c r="BD99" s="224"/>
      <c r="BE99" s="224"/>
      <c r="BF99" s="224"/>
      <c r="BG99" s="224"/>
      <c r="BH99" s="224"/>
    </row>
    <row r="100">
      <c r="AN100" s="1957"/>
      <c r="AO100" s="2042"/>
      <c r="AP100" s="2043"/>
      <c r="AQ100" s="2042"/>
      <c r="AR100" s="2046"/>
      <c r="AS100" s="1858"/>
      <c r="AT100" s="2042"/>
      <c r="AU100" s="2044"/>
      <c r="AV100" s="2042"/>
      <c r="AW100" s="2044"/>
      <c r="AX100" s="2008"/>
      <c r="AY100" s="2008"/>
      <c r="AZ100" s="2008"/>
      <c r="BA100" s="2008"/>
      <c r="BB100" s="2008"/>
      <c r="BC100" s="224"/>
      <c r="BD100" s="224"/>
      <c r="BE100" s="224"/>
      <c r="BF100" s="224"/>
      <c r="BG100" s="224"/>
      <c r="BH100" s="224"/>
    </row>
    <row r="101" ht="12.75" customHeight="1">
      <c r="AN101" s="1957"/>
      <c r="AO101" s="2042"/>
      <c r="AP101" s="2043"/>
      <c r="AQ101" s="2049"/>
      <c r="AR101" s="2046"/>
      <c r="AS101" s="1858"/>
      <c r="AT101" s="2049"/>
      <c r="AU101" s="2044"/>
      <c r="AV101" s="2049"/>
      <c r="AW101" s="2044"/>
      <c r="AX101" s="2008"/>
      <c r="AY101" s="2008"/>
      <c r="AZ101" s="2008"/>
      <c r="BA101" s="2008"/>
      <c r="BB101" s="2008"/>
      <c r="BC101" s="224"/>
      <c r="BD101" s="224"/>
      <c r="BE101" s="224"/>
      <c r="BF101" s="224"/>
      <c r="BG101" s="224"/>
      <c r="BH101" s="224"/>
    </row>
    <row r="102" hidden="1">
      <c r="A102" s="2047"/>
      <c r="B102" s="2047"/>
      <c r="C102" s="2047"/>
      <c r="D102" s="2047"/>
      <c r="E102" s="2047"/>
      <c r="F102" s="2047"/>
      <c r="G102" s="2047"/>
      <c r="H102" s="2047"/>
      <c r="I102" s="2047"/>
      <c r="J102" s="2047"/>
      <c r="K102" s="2047"/>
      <c r="L102" s="2047"/>
      <c r="M102" s="2047"/>
      <c r="N102" s="2047"/>
      <c r="O102" s="2047"/>
      <c r="P102" s="2047"/>
      <c r="Q102" s="2047"/>
      <c r="R102" s="2047"/>
      <c r="S102" s="2047"/>
      <c r="T102" s="2047"/>
      <c r="U102" s="2047"/>
      <c r="V102" s="2047"/>
      <c r="X102" s="2050"/>
      <c r="Y102" s="2050"/>
      <c r="Z102" s="2050"/>
      <c r="AA102" s="2050"/>
      <c r="AB102" s="2050"/>
      <c r="AC102" s="2050"/>
      <c r="AD102" s="2050"/>
      <c r="AE102" s="2050"/>
      <c r="AF102" s="2050"/>
      <c r="AG102" s="2050"/>
      <c r="AH102" s="2050"/>
      <c r="AI102" s="2050"/>
      <c r="AJ102" s="2050"/>
      <c r="AK102" s="2050"/>
      <c r="AL102" s="2050"/>
      <c r="AM102" s="2050"/>
      <c r="AN102" s="1471"/>
      <c r="AO102" s="2042"/>
      <c r="AP102" s="2043"/>
      <c r="AQ102" s="2052"/>
      <c r="AR102" s="2053"/>
      <c r="AS102" s="1860"/>
      <c r="AT102" s="2052"/>
      <c r="AU102" s="2054"/>
      <c r="AV102" s="2052"/>
      <c r="AW102" s="2054"/>
      <c r="AX102" s="2008"/>
      <c r="AY102" s="2008"/>
      <c r="AZ102" s="2008"/>
      <c r="BA102" s="2008"/>
      <c r="BB102" s="2008"/>
      <c r="BC102" s="224"/>
      <c r="BD102" s="224"/>
      <c r="BE102" s="224"/>
      <c r="BF102" s="224"/>
      <c r="BG102" s="224"/>
      <c r="BH102" s="224"/>
      <c r="BI102" s="34"/>
      <c r="BJ102" s="34"/>
      <c r="BK102" s="34"/>
      <c r="BL102" s="34"/>
      <c r="BM102" s="34"/>
      <c r="BN102" s="34"/>
      <c r="BO102" s="34"/>
      <c r="BP102" s="34"/>
      <c r="BQ102" s="34"/>
      <c r="BR102" s="34"/>
    </row>
    <row r="103" ht="13.5" customHeight="1">
      <c r="A103" s="2047"/>
      <c r="B103" s="2047"/>
      <c r="C103" s="2047"/>
      <c r="D103" s="2047"/>
      <c r="E103" s="2047"/>
      <c r="F103" s="2047"/>
      <c r="G103" s="2047"/>
      <c r="H103" s="2047"/>
      <c r="I103" s="2047"/>
      <c r="J103" s="2047"/>
      <c r="K103" s="2047"/>
      <c r="L103" s="2047"/>
      <c r="M103" s="2047"/>
      <c r="N103" s="2047"/>
      <c r="O103" s="2047"/>
      <c r="P103" s="2047"/>
      <c r="Q103" s="2047"/>
      <c r="R103" s="2047"/>
      <c r="S103" s="2047"/>
      <c r="T103" s="2047"/>
      <c r="U103" s="2047"/>
      <c r="V103" s="2047"/>
      <c r="W103" s="2047"/>
      <c r="X103" s="2047"/>
      <c r="Y103" s="2047"/>
      <c r="Z103" s="2047"/>
      <c r="AA103" s="2047"/>
      <c r="AB103" s="2047"/>
      <c r="AC103" s="2047"/>
      <c r="AD103" s="2047"/>
      <c r="AE103" s="2047"/>
      <c r="AF103" s="2047"/>
      <c r="AG103" s="2047"/>
      <c r="AH103" s="2047"/>
      <c r="AI103" s="2047"/>
      <c r="AJ103" s="2047"/>
      <c r="AK103" s="2047"/>
      <c r="AL103" s="2047"/>
      <c r="AM103" s="2047"/>
      <c r="AN103" s="1957"/>
      <c r="AO103" s="2042"/>
      <c r="AP103" s="2043"/>
      <c r="AQ103" s="2042"/>
      <c r="AR103" s="2046"/>
      <c r="AS103" s="1858"/>
      <c r="AT103" s="2042"/>
      <c r="AU103" s="2044"/>
      <c r="AV103" s="2042"/>
      <c r="AW103" s="2044"/>
      <c r="AX103" s="1957"/>
      <c r="AY103" s="1957"/>
      <c r="AZ103" s="1957"/>
      <c r="BA103" s="1957"/>
      <c r="BB103" s="1957"/>
    </row>
    <row r="104">
      <c r="A104" s="126" t="s">
        <v>731</v>
      </c>
      <c r="AN104" s="1957"/>
      <c r="AO104" s="2042"/>
      <c r="AP104" s="2043"/>
      <c r="AQ104" s="2042"/>
      <c r="AR104" s="2046"/>
      <c r="AS104" s="1858"/>
      <c r="AT104" s="2042"/>
      <c r="AU104" s="2044"/>
      <c r="AV104" s="2042"/>
      <c r="AW104" s="2044"/>
      <c r="AX104" s="2055"/>
      <c r="AY104" s="2055"/>
      <c r="AZ104" s="2055"/>
      <c r="BA104" s="1957"/>
      <c r="BB104" s="1957"/>
    </row>
    <row r="105" ht="10.5" customHeight="1">
      <c r="A105" s="241"/>
      <c r="B105" s="242"/>
      <c r="C105" s="243" t="s">
        <v>152</v>
      </c>
      <c r="D105" s="243"/>
      <c r="E105" s="244"/>
      <c r="F105" s="245"/>
      <c r="G105" s="245"/>
      <c r="H105" s="245"/>
      <c r="I105" s="245"/>
      <c r="J105" s="245"/>
      <c r="K105" s="245"/>
      <c r="L105" s="245"/>
      <c r="M105" s="245"/>
      <c r="N105" s="244"/>
      <c r="O105" s="244"/>
      <c r="P105" s="246" t="s">
        <v>153</v>
      </c>
      <c r="Q105" s="245" t="s">
        <v>154</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7"/>
      <c r="AO105" s="2042"/>
      <c r="AP105" s="2043"/>
      <c r="AQ105" s="2042"/>
      <c r="AR105" s="2046"/>
      <c r="AS105" s="1858"/>
      <c r="AT105" s="2042"/>
      <c r="AU105" s="2044"/>
      <c r="AV105" s="2042"/>
      <c r="AW105" s="2044"/>
      <c r="AX105" s="2055"/>
      <c r="AY105" s="2055"/>
      <c r="AZ105" s="2055"/>
      <c r="BA105" s="1957"/>
      <c r="BB105" s="1957"/>
    </row>
    <row r="106">
      <c r="A106" s="1488" t="s">
        <v>155</v>
      </c>
      <c r="B106" s="253"/>
      <c r="C106" s="1488" t="s">
        <v>156</v>
      </c>
      <c r="D106" s="255"/>
      <c r="E106" s="255"/>
      <c r="F106" s="253"/>
      <c r="G106" s="2056" t="s">
        <v>157</v>
      </c>
      <c r="H106" s="255"/>
      <c r="I106" s="255"/>
      <c r="J106" s="253"/>
      <c r="K106" s="1492" t="s">
        <v>158</v>
      </c>
      <c r="L106" s="85"/>
      <c r="M106" s="85"/>
      <c r="N106" s="85"/>
      <c r="O106" s="85"/>
      <c r="P106" s="85"/>
      <c r="Q106" s="85"/>
      <c r="R106" s="85"/>
      <c r="S106" s="85"/>
      <c r="T106" s="85"/>
      <c r="U106" s="85"/>
      <c r="V106" s="85"/>
      <c r="W106" s="85"/>
      <c r="X106" s="85"/>
      <c r="Y106" s="85"/>
      <c r="Z106" s="85"/>
      <c r="AA106" s="85"/>
      <c r="AB106" s="86"/>
      <c r="AC106" s="1494" t="s">
        <v>159</v>
      </c>
      <c r="AD106" s="255"/>
      <c r="AE106" s="255"/>
      <c r="AF106" s="253"/>
      <c r="AG106" s="1494" t="s">
        <v>160</v>
      </c>
      <c r="AH106" s="255"/>
      <c r="AI106" s="253"/>
      <c r="AJ106" s="1494" t="s">
        <v>161</v>
      </c>
      <c r="AK106" s="255"/>
      <c r="AL106" s="255"/>
      <c r="AM106" s="253"/>
      <c r="AN106" s="1957"/>
      <c r="AO106" s="2042"/>
      <c r="AP106" s="2043"/>
      <c r="AQ106" s="2042"/>
      <c r="AR106" s="2046"/>
      <c r="AS106" s="1858"/>
      <c r="AT106" s="2042"/>
      <c r="AU106" s="2044"/>
      <c r="AV106" s="2042"/>
      <c r="AW106" s="2044"/>
      <c r="AX106" s="1957"/>
      <c r="AY106" s="1957"/>
      <c r="AZ106" s="1957"/>
      <c r="BA106" s="1957"/>
      <c r="BB106" s="1957"/>
    </row>
    <row r="107">
      <c r="A107" s="260"/>
      <c r="B107" s="261"/>
      <c r="C107" s="260"/>
      <c r="D107" s="251"/>
      <c r="E107" s="251"/>
      <c r="F107" s="261"/>
      <c r="G107" s="260"/>
      <c r="H107" s="251"/>
      <c r="I107" s="251"/>
      <c r="J107" s="261"/>
      <c r="K107" s="1492" t="s">
        <v>162</v>
      </c>
      <c r="L107" s="86"/>
      <c r="M107" s="1492" t="s">
        <v>163</v>
      </c>
      <c r="N107" s="85"/>
      <c r="O107" s="86"/>
      <c r="P107" s="1497" t="s">
        <v>164</v>
      </c>
      <c r="Q107" s="263"/>
      <c r="R107" s="1498" t="s">
        <v>165</v>
      </c>
      <c r="S107" s="263"/>
      <c r="T107" s="1497" t="s">
        <v>166</v>
      </c>
      <c r="W107" s="263"/>
      <c r="X107" s="1498" t="s">
        <v>167</v>
      </c>
      <c r="Y107" s="263"/>
      <c r="Z107" s="1492" t="s">
        <v>168</v>
      </c>
      <c r="AA107" s="85"/>
      <c r="AB107" s="86"/>
      <c r="AC107" s="1499" t="s">
        <v>169</v>
      </c>
      <c r="AD107" s="251"/>
      <c r="AE107" s="251"/>
      <c r="AF107" s="261"/>
      <c r="AG107" s="1499"/>
      <c r="AH107" s="251"/>
      <c r="AI107" s="261"/>
      <c r="AJ107" s="1499" t="s">
        <v>169</v>
      </c>
      <c r="AK107" s="251"/>
      <c r="AL107" s="251"/>
      <c r="AM107" s="261"/>
      <c r="AN107" s="1957"/>
      <c r="AO107" s="2042"/>
      <c r="AP107" s="2043"/>
      <c r="AQ107" s="2042"/>
      <c r="AR107" s="2046"/>
      <c r="AS107" s="1858"/>
      <c r="AT107" s="2042"/>
      <c r="AU107" s="2044"/>
      <c r="AV107" s="2042"/>
      <c r="AW107" s="2044"/>
      <c r="AX107" s="1957"/>
      <c r="AY107" s="1957"/>
      <c r="AZ107" s="1957"/>
      <c r="BA107" s="1957"/>
      <c r="BB107" s="1957"/>
    </row>
    <row r="108" ht="13.5" customHeight="1">
      <c r="A108" s="1500">
        <v>1.0</v>
      </c>
      <c r="B108" s="253"/>
      <c r="C108" s="2057">
        <v>91.97</v>
      </c>
      <c r="D108" s="255"/>
      <c r="E108" s="255"/>
      <c r="F108" s="253"/>
      <c r="G108" s="2058">
        <v>10500.0</v>
      </c>
      <c r="H108" s="255"/>
      <c r="I108" s="255"/>
      <c r="J108" s="253"/>
      <c r="K108" s="1504">
        <v>1.0</v>
      </c>
      <c r="L108" s="253"/>
      <c r="M108" s="1504">
        <v>1.0</v>
      </c>
      <c r="N108" s="255"/>
      <c r="O108" s="253"/>
      <c r="P108" s="1504">
        <v>1.0</v>
      </c>
      <c r="Q108" s="255"/>
      <c r="R108" s="1505">
        <v>1.0</v>
      </c>
      <c r="S108" s="253"/>
      <c r="T108" s="1504">
        <v>1.0</v>
      </c>
      <c r="U108" s="255"/>
      <c r="V108" s="255"/>
      <c r="W108" s="253"/>
      <c r="X108" s="1506">
        <v>1.0</v>
      </c>
      <c r="Y108" s="255"/>
      <c r="Z108" s="1507">
        <f>ROUND(K108*M108*P108*R108*T108*X108,2)</f>
        <v>1</v>
      </c>
      <c r="AB108" s="263"/>
      <c r="AC108" s="2059">
        <f t="shared" ref="AC108:AC110" si="5">+Z108*G108</f>
        <v>10500</v>
      </c>
      <c r="AF108" s="263"/>
      <c r="AG108" s="2060">
        <v>1.0</v>
      </c>
      <c r="AH108" s="251"/>
      <c r="AI108" s="261"/>
      <c r="AJ108" s="1510">
        <f>C108*AC108*AG108</f>
        <v>965685</v>
      </c>
      <c r="AM108" s="263"/>
      <c r="AN108" s="1957"/>
      <c r="AO108" s="2042"/>
      <c r="AP108" s="2043"/>
      <c r="AQ108" s="2042"/>
      <c r="AR108" s="2053"/>
      <c r="AS108" s="1860"/>
      <c r="AT108" s="2042"/>
      <c r="AU108" s="2054"/>
      <c r="AV108" s="2042"/>
      <c r="AW108" s="2054"/>
      <c r="AX108" s="1957"/>
      <c r="AY108" s="1957"/>
      <c r="AZ108" s="1957"/>
      <c r="BA108" s="1957"/>
      <c r="BB108" s="1957"/>
    </row>
    <row r="109" hidden="1">
      <c r="A109" s="1511">
        <v>2.0</v>
      </c>
      <c r="B109" s="263"/>
      <c r="C109" s="1512"/>
      <c r="F109" s="263"/>
      <c r="G109" s="2061">
        <v>0.0</v>
      </c>
      <c r="J109" s="263"/>
      <c r="K109" s="1516"/>
      <c r="L109" s="263"/>
      <c r="M109" s="1515"/>
      <c r="O109" s="263"/>
      <c r="P109" s="1515"/>
      <c r="R109" s="1516"/>
      <c r="S109" s="263"/>
      <c r="T109" s="1515"/>
      <c r="W109" s="263"/>
      <c r="X109" s="2062"/>
      <c r="Z109" s="1507"/>
      <c r="AB109" s="263"/>
      <c r="AC109" s="1510">
        <f t="shared" si="5"/>
        <v>0</v>
      </c>
      <c r="AF109" s="263"/>
      <c r="AG109" s="1518">
        <v>1.0</v>
      </c>
      <c r="AI109" s="263"/>
      <c r="AJ109" s="1510">
        <f t="shared" ref="AJ109:AJ110" si="6">+AC109*C109*AG109</f>
        <v>0</v>
      </c>
      <c r="AM109" s="263"/>
      <c r="AN109" s="1471"/>
      <c r="AO109" s="1957"/>
      <c r="AP109" s="1957"/>
      <c r="AQ109" s="1957"/>
      <c r="AR109" s="1957"/>
      <c r="AS109" s="1957"/>
      <c r="AT109" s="1957"/>
      <c r="AU109" s="1957"/>
      <c r="AV109" s="1957"/>
      <c r="AW109" s="1957"/>
      <c r="AX109" s="1957"/>
      <c r="AY109" s="1957"/>
      <c r="AZ109" s="1957"/>
      <c r="BA109" s="1957"/>
      <c r="BB109" s="1957"/>
    </row>
    <row r="110" hidden="1">
      <c r="A110" s="1519">
        <v>3.0</v>
      </c>
      <c r="B110" s="261"/>
      <c r="C110" s="1520"/>
      <c r="D110" s="251"/>
      <c r="E110" s="251"/>
      <c r="F110" s="261"/>
      <c r="G110" s="2063">
        <v>0.0</v>
      </c>
      <c r="H110" s="251"/>
      <c r="I110" s="251"/>
      <c r="J110" s="261"/>
      <c r="K110" s="1524"/>
      <c r="L110" s="261"/>
      <c r="M110" s="1523"/>
      <c r="N110" s="251"/>
      <c r="O110" s="261"/>
      <c r="P110" s="1523"/>
      <c r="Q110" s="251"/>
      <c r="R110" s="1524"/>
      <c r="S110" s="261"/>
      <c r="T110" s="1523"/>
      <c r="U110" s="251"/>
      <c r="V110" s="251"/>
      <c r="W110" s="261"/>
      <c r="X110" s="2064"/>
      <c r="Y110" s="251"/>
      <c r="Z110" s="2065"/>
      <c r="AA110" s="251"/>
      <c r="AB110" s="261"/>
      <c r="AC110" s="2066">
        <f t="shared" si="5"/>
        <v>0</v>
      </c>
      <c r="AD110" s="251"/>
      <c r="AE110" s="251"/>
      <c r="AF110" s="261"/>
      <c r="AG110" s="1527">
        <v>1.0</v>
      </c>
      <c r="AH110" s="251"/>
      <c r="AI110" s="261"/>
      <c r="AJ110" s="1510">
        <f t="shared" si="6"/>
        <v>0</v>
      </c>
      <c r="AM110" s="263"/>
      <c r="AN110" s="1471"/>
      <c r="AO110" s="1957"/>
      <c r="AP110" s="1957"/>
      <c r="AQ110" s="1957"/>
      <c r="AR110" s="1957"/>
      <c r="AS110" s="1957"/>
      <c r="AT110" s="1957"/>
      <c r="AU110" s="1957"/>
      <c r="AV110" s="1957"/>
      <c r="AW110" s="1957"/>
      <c r="AX110" s="1957"/>
      <c r="AY110" s="1957"/>
      <c r="AZ110" s="1957"/>
      <c r="BA110" s="1957"/>
      <c r="BB110" s="1957"/>
    </row>
    <row r="111" ht="20.25" customHeight="1">
      <c r="A111" s="1519" t="s">
        <v>170</v>
      </c>
      <c r="B111" s="261"/>
      <c r="C111" s="1528">
        <f>SUM(C108:F110)</f>
        <v>91.97</v>
      </c>
      <c r="D111" s="85"/>
      <c r="E111" s="85"/>
      <c r="F111" s="86"/>
      <c r="G111" s="1500"/>
      <c r="H111" s="255"/>
      <c r="I111" s="255"/>
      <c r="J111" s="255"/>
      <c r="K111" s="2067" t="s">
        <v>171</v>
      </c>
      <c r="L111" s="294"/>
      <c r="M111" s="294"/>
      <c r="N111" s="294"/>
      <c r="O111" s="294"/>
      <c r="P111" s="294"/>
      <c r="Q111" s="294"/>
      <c r="R111" s="294"/>
      <c r="S111" s="294"/>
      <c r="T111" s="294"/>
      <c r="U111" s="294"/>
      <c r="V111" s="294"/>
      <c r="W111" s="294"/>
      <c r="X111" s="294"/>
      <c r="Y111" s="294"/>
      <c r="Z111" s="294"/>
      <c r="AA111" s="294"/>
      <c r="AB111" s="295"/>
      <c r="AC111" s="2068">
        <f>SUM(AC108:AF110)</f>
        <v>10500</v>
      </c>
      <c r="AD111" s="255"/>
      <c r="AE111" s="255"/>
      <c r="AF111" s="255"/>
      <c r="AG111" s="2069" t="s">
        <v>732</v>
      </c>
      <c r="AJ111" s="1193">
        <f>SUM(AJ108:AM110)</f>
        <v>965685</v>
      </c>
      <c r="AK111" s="85"/>
      <c r="AL111" s="85"/>
      <c r="AM111" s="86"/>
      <c r="AN111" s="2070">
        <f>AJ111/$AJ$159</f>
        <v>0.5334844087</v>
      </c>
      <c r="AO111" s="1957"/>
      <c r="AP111" s="1532" t="s">
        <v>173</v>
      </c>
      <c r="AQ111" s="1856"/>
      <c r="AR111" s="1856"/>
      <c r="AS111" s="1857"/>
      <c r="AT111" s="1957"/>
      <c r="AU111" s="1957"/>
      <c r="AV111" s="1957"/>
      <c r="AW111" s="1957"/>
      <c r="AX111" s="1957"/>
      <c r="AY111" s="1957"/>
      <c r="AZ111" s="1957"/>
      <c r="BA111" s="1957"/>
      <c r="BB111" s="1957"/>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1"/>
      <c r="AO112" s="1957"/>
      <c r="AP112" s="1583"/>
      <c r="AS112" s="1858"/>
      <c r="AT112" s="1957"/>
      <c r="AU112" s="1957"/>
      <c r="AV112" s="1957"/>
      <c r="AW112" s="1957"/>
      <c r="AX112" s="1957"/>
      <c r="AY112" s="1957"/>
      <c r="AZ112" s="1957"/>
      <c r="BA112" s="1957"/>
      <c r="BB112" s="1957"/>
      <c r="BC112" s="34"/>
      <c r="BD112" s="34"/>
      <c r="BE112" s="34"/>
      <c r="BF112" s="34"/>
      <c r="BG112" s="34"/>
    </row>
    <row r="113" ht="11.25" customHeight="1">
      <c r="A113" s="307"/>
      <c r="B113" s="92"/>
      <c r="C113" s="308" t="s">
        <v>174</v>
      </c>
      <c r="D113" s="308"/>
      <c r="E113" s="309"/>
      <c r="F113" s="309"/>
      <c r="G113" s="309"/>
      <c r="H113" s="309"/>
      <c r="I113" s="310"/>
      <c r="J113" s="310"/>
      <c r="K113" s="309"/>
      <c r="L113" s="309"/>
      <c r="M113" s="309"/>
      <c r="N113" s="311" t="s">
        <v>175</v>
      </c>
      <c r="O113" s="255"/>
      <c r="P113" s="253"/>
      <c r="Q113" s="312" t="s">
        <v>176</v>
      </c>
      <c r="R113" s="85"/>
      <c r="S113" s="85"/>
      <c r="T113" s="85"/>
      <c r="U113" s="85"/>
      <c r="V113" s="85"/>
      <c r="W113" s="85"/>
      <c r="X113" s="85"/>
      <c r="Y113" s="85"/>
      <c r="Z113" s="85"/>
      <c r="AA113" s="85"/>
      <c r="AB113" s="86"/>
      <c r="AC113" s="254" t="s">
        <v>177</v>
      </c>
      <c r="AD113" s="255"/>
      <c r="AE113" s="255"/>
      <c r="AF113" s="253"/>
      <c r="AG113" s="254" t="s">
        <v>160</v>
      </c>
      <c r="AH113" s="255"/>
      <c r="AI113" s="253"/>
      <c r="AJ113" s="254" t="s">
        <v>161</v>
      </c>
      <c r="AK113" s="255"/>
      <c r="AL113" s="255"/>
      <c r="AM113" s="253"/>
      <c r="AN113" s="2072"/>
      <c r="AO113" s="2073"/>
      <c r="AP113" s="1586"/>
      <c r="AQ113" s="1859"/>
      <c r="AR113" s="1859"/>
      <c r="AS113" s="1860"/>
      <c r="AT113" s="2073"/>
      <c r="AU113" s="2073"/>
      <c r="AV113" s="2073"/>
      <c r="AW113" s="2073"/>
      <c r="AX113" s="2074"/>
      <c r="AY113" s="1471"/>
      <c r="AZ113" s="2028"/>
      <c r="BA113" s="1471"/>
      <c r="BB113" s="1471"/>
      <c r="BC113" s="2075"/>
      <c r="BD113" s="2075"/>
      <c r="BE113" s="2075"/>
      <c r="BF113" s="2075"/>
      <c r="BG113" s="92"/>
      <c r="BH113" s="92"/>
      <c r="BI113" s="92"/>
      <c r="BJ113" s="92"/>
      <c r="BK113" s="92"/>
      <c r="BL113" s="92"/>
      <c r="BM113" s="92"/>
      <c r="BN113" s="92"/>
      <c r="BO113" s="92"/>
      <c r="BP113" s="92"/>
      <c r="BQ113" s="92"/>
      <c r="BR113" s="92"/>
    </row>
    <row r="114" ht="12.0" customHeight="1">
      <c r="A114" s="1500" t="s">
        <v>178</v>
      </c>
      <c r="B114" s="253"/>
      <c r="C114" s="1542" t="s">
        <v>179</v>
      </c>
      <c r="D114" s="85"/>
      <c r="E114" s="85"/>
      <c r="F114" s="85"/>
      <c r="G114" s="85"/>
      <c r="H114" s="85"/>
      <c r="I114" s="85"/>
      <c r="J114" s="86"/>
      <c r="K114" s="320" t="s">
        <v>156</v>
      </c>
      <c r="L114" s="255"/>
      <c r="M114" s="253"/>
      <c r="N114" s="260"/>
      <c r="O114" s="251"/>
      <c r="P114" s="261"/>
      <c r="Q114" s="199" t="s">
        <v>180</v>
      </c>
      <c r="S114" s="263"/>
      <c r="T114" s="321" t="s">
        <v>181</v>
      </c>
      <c r="U114" s="251"/>
      <c r="V114" s="251"/>
      <c r="W114" s="261"/>
      <c r="X114" s="322" t="s">
        <v>182</v>
      </c>
      <c r="Y114" s="263"/>
      <c r="Z114" s="323" t="s">
        <v>129</v>
      </c>
      <c r="AA114" s="251"/>
      <c r="AB114" s="261"/>
      <c r="AC114" s="1497" t="s">
        <v>183</v>
      </c>
      <c r="AF114" s="263"/>
      <c r="AG114" s="1499"/>
      <c r="AH114" s="251"/>
      <c r="AI114" s="261"/>
      <c r="AJ114" s="1497" t="s">
        <v>169</v>
      </c>
      <c r="AM114" s="263"/>
      <c r="AN114" s="2076"/>
      <c r="AO114" s="1957"/>
      <c r="AP114" s="2077" t="s">
        <v>200</v>
      </c>
      <c r="AQ114" s="2078" t="s">
        <v>129</v>
      </c>
      <c r="AR114" s="2078" t="s">
        <v>184</v>
      </c>
      <c r="AS114" s="2079"/>
      <c r="AT114" s="1957"/>
      <c r="AU114" s="1957"/>
      <c r="AV114" s="1957"/>
      <c r="AW114" s="1957"/>
      <c r="AX114" s="2080"/>
      <c r="AY114" s="2073"/>
      <c r="AZ114" s="2081"/>
      <c r="BA114" s="2073"/>
      <c r="BB114" s="2081"/>
      <c r="BC114" s="2082"/>
      <c r="BD114" s="2082"/>
      <c r="BE114" s="2082"/>
      <c r="BF114" s="2082"/>
      <c r="BG114" s="34"/>
    </row>
    <row r="115" ht="11.25" customHeight="1">
      <c r="A115" s="1511" t="s">
        <v>185</v>
      </c>
      <c r="B115" s="263"/>
      <c r="C115" s="1546" t="s">
        <v>797</v>
      </c>
      <c r="D115" s="255"/>
      <c r="E115" s="255"/>
      <c r="F115" s="255"/>
      <c r="G115" s="255"/>
      <c r="H115" s="255"/>
      <c r="I115" s="255"/>
      <c r="J115" s="253"/>
      <c r="K115" s="2083">
        <v>16.08</v>
      </c>
      <c r="L115" s="255"/>
      <c r="M115" s="253"/>
      <c r="N115" s="331">
        <v>13500.0</v>
      </c>
      <c r="O115" s="255"/>
      <c r="P115" s="253"/>
      <c r="Q115" s="332">
        <v>1.0</v>
      </c>
      <c r="R115" s="255"/>
      <c r="S115" s="253"/>
      <c r="T115" s="2307">
        <v>0.95</v>
      </c>
      <c r="U115" s="255"/>
      <c r="V115" s="255"/>
      <c r="W115" s="253"/>
      <c r="X115" s="334">
        <v>1.0</v>
      </c>
      <c r="Y115" s="253"/>
      <c r="Z115" s="334">
        <f t="shared" ref="Z115:Z117" si="7">IF(AS115&lt;0.2,"0.20",AS115)</f>
        <v>0.73</v>
      </c>
      <c r="AA115" s="255"/>
      <c r="AB115" s="253"/>
      <c r="AC115" s="2084">
        <f t="shared" ref="AC115:AC117" si="8">Z115*Q115*X115*T115*N115</f>
        <v>9362.25</v>
      </c>
      <c r="AD115" s="255"/>
      <c r="AE115" s="255"/>
      <c r="AF115" s="253"/>
      <c r="AG115" s="1548">
        <v>1.0</v>
      </c>
      <c r="AH115" s="255"/>
      <c r="AI115" s="253"/>
      <c r="AJ115" s="1549">
        <f t="shared" ref="AJ115:AJ122" si="9">K115*AC115*AG115</f>
        <v>150544.98</v>
      </c>
      <c r="AK115" s="255"/>
      <c r="AL115" s="255"/>
      <c r="AM115" s="253"/>
      <c r="AN115" s="2076"/>
      <c r="AO115" s="1957"/>
      <c r="AP115" s="2085">
        <f>+F86</f>
        <v>70</v>
      </c>
      <c r="AQ115" s="2086">
        <f>+A86</f>
        <v>21</v>
      </c>
      <c r="AR115" s="2087">
        <f t="shared" ref="AR115:AR122" si="10">AP115-AQ115</f>
        <v>49</v>
      </c>
      <c r="AS115" s="2088">
        <f t="shared" ref="AS115:AS122" si="11">ROUND(((0.1*AP115)+(0.9*AR115))/AP115,2)</f>
        <v>0.73</v>
      </c>
      <c r="AT115" s="1957"/>
      <c r="AU115" s="1957"/>
      <c r="AV115" s="1957"/>
      <c r="AW115" s="1957"/>
      <c r="AX115" s="2074"/>
      <c r="AY115" s="1957"/>
      <c r="AZ115" s="2089"/>
      <c r="BA115" s="2089"/>
      <c r="BB115" s="2089"/>
      <c r="BC115" s="2082"/>
      <c r="BD115" s="2082"/>
      <c r="BE115" s="2082"/>
      <c r="BF115" s="2082"/>
      <c r="BG115" s="34"/>
    </row>
    <row r="116" ht="11.25" customHeight="1">
      <c r="A116" s="1511" t="s">
        <v>186</v>
      </c>
      <c r="B116" s="263"/>
      <c r="C116" s="2090" t="s">
        <v>798</v>
      </c>
      <c r="J116" s="263"/>
      <c r="K116" s="2091">
        <v>58.12</v>
      </c>
      <c r="M116" s="263"/>
      <c r="N116" s="2092">
        <v>13500.0</v>
      </c>
      <c r="P116" s="263"/>
      <c r="Q116" s="344">
        <v>1.0</v>
      </c>
      <c r="S116" s="263"/>
      <c r="T116" s="345">
        <v>0.91</v>
      </c>
      <c r="W116" s="263"/>
      <c r="X116" s="346">
        <v>1.0</v>
      </c>
      <c r="Y116" s="263"/>
      <c r="Z116" s="346">
        <f t="shared" si="7"/>
        <v>0.96</v>
      </c>
      <c r="AB116" s="263"/>
      <c r="AC116" s="2093">
        <f t="shared" si="8"/>
        <v>11793.6</v>
      </c>
      <c r="AF116" s="263"/>
      <c r="AG116" s="1555">
        <v>1.0</v>
      </c>
      <c r="AI116" s="263"/>
      <c r="AJ116" s="1556">
        <f t="shared" si="9"/>
        <v>685444.032</v>
      </c>
      <c r="AM116" s="263"/>
      <c r="AN116" s="2076"/>
      <c r="AO116" s="1957"/>
      <c r="AP116" s="2094">
        <f t="shared" ref="AP116:AP118" si="12">+AP115</f>
        <v>70</v>
      </c>
      <c r="AQ116" s="2308">
        <v>3.0</v>
      </c>
      <c r="AR116" s="2096">
        <f t="shared" si="10"/>
        <v>67</v>
      </c>
      <c r="AS116" s="2097">
        <f t="shared" si="11"/>
        <v>0.96</v>
      </c>
      <c r="AT116" s="1957"/>
      <c r="AU116" s="1957"/>
      <c r="AV116" s="1957"/>
      <c r="AW116" s="1957"/>
      <c r="AX116" s="2098"/>
      <c r="AY116" s="1957"/>
      <c r="AZ116" s="2089"/>
      <c r="BA116" s="2089"/>
      <c r="BB116" s="2089"/>
      <c r="BC116" s="2082"/>
      <c r="BD116" s="2082"/>
      <c r="BE116" s="2082"/>
      <c r="BF116" s="2082"/>
      <c r="BG116" s="34"/>
    </row>
    <row r="117" ht="11.25" customHeight="1">
      <c r="A117" s="1511" t="s">
        <v>187</v>
      </c>
      <c r="B117" s="263"/>
      <c r="C117" s="1552"/>
      <c r="J117" s="263"/>
      <c r="K117" s="2091">
        <v>0.0</v>
      </c>
      <c r="M117" s="263"/>
      <c r="N117" s="2092"/>
      <c r="P117" s="263"/>
      <c r="Q117" s="344">
        <v>1.0</v>
      </c>
      <c r="S117" s="263"/>
      <c r="T117" s="345">
        <v>0.0</v>
      </c>
      <c r="W117" s="263"/>
      <c r="X117" s="346">
        <v>1.0</v>
      </c>
      <c r="Y117" s="263"/>
      <c r="Z117" s="346">
        <f t="shared" si="7"/>
        <v>0.96</v>
      </c>
      <c r="AB117" s="263"/>
      <c r="AC117" s="2093">
        <f t="shared" si="8"/>
        <v>0</v>
      </c>
      <c r="AF117" s="263"/>
      <c r="AG117" s="1555">
        <v>1.0</v>
      </c>
      <c r="AI117" s="263"/>
      <c r="AJ117" s="1556">
        <f t="shared" si="9"/>
        <v>0</v>
      </c>
      <c r="AM117" s="263"/>
      <c r="AN117" s="2076"/>
      <c r="AO117" s="1957"/>
      <c r="AP117" s="2094">
        <f t="shared" si="12"/>
        <v>70</v>
      </c>
      <c r="AQ117" s="2095">
        <f t="shared" ref="AQ117:AQ118" si="13">+AQ116</f>
        <v>3</v>
      </c>
      <c r="AR117" s="2096">
        <f t="shared" si="10"/>
        <v>67</v>
      </c>
      <c r="AS117" s="2097">
        <f t="shared" si="11"/>
        <v>0.96</v>
      </c>
      <c r="AT117" s="1957"/>
      <c r="AU117" s="1957"/>
      <c r="AV117" s="1957"/>
      <c r="AW117" s="1957"/>
      <c r="AX117" s="2098"/>
      <c r="AY117" s="1957"/>
      <c r="AZ117" s="2089"/>
      <c r="BA117" s="2089"/>
      <c r="BB117" s="2089"/>
      <c r="BC117" s="2082"/>
      <c r="BD117" s="2082"/>
      <c r="BE117" s="2082"/>
      <c r="BF117" s="2082"/>
      <c r="BG117" s="34"/>
    </row>
    <row r="118" ht="11.25" hidden="1" customHeight="1">
      <c r="A118" s="1511" t="s">
        <v>188</v>
      </c>
      <c r="B118" s="263"/>
      <c r="C118" s="1511"/>
      <c r="J118" s="263"/>
      <c r="K118" s="343"/>
      <c r="M118" s="263"/>
      <c r="N118" s="343"/>
      <c r="P118" s="263"/>
      <c r="Q118" s="344">
        <v>1.0</v>
      </c>
      <c r="S118" s="263"/>
      <c r="T118" s="346">
        <v>0.0</v>
      </c>
      <c r="W118" s="263"/>
      <c r="X118" s="346">
        <v>1.0</v>
      </c>
      <c r="Y118" s="263"/>
      <c r="Z118" s="346">
        <f t="shared" ref="Z118:Z122" si="14">IF(AS118&lt;0.6,"0.60",AS118)</f>
        <v>0.96</v>
      </c>
      <c r="AB118" s="263"/>
      <c r="AC118" s="2093">
        <f t="shared" ref="AC118:AC122" si="15">Z118*X118*T118*P118</f>
        <v>0</v>
      </c>
      <c r="AF118" s="263"/>
      <c r="AG118" s="1555">
        <v>1.0</v>
      </c>
      <c r="AI118" s="263"/>
      <c r="AJ118" s="1556">
        <f t="shared" si="9"/>
        <v>0</v>
      </c>
      <c r="AM118" s="263"/>
      <c r="AN118" s="2076"/>
      <c r="AO118" s="1957"/>
      <c r="AP118" s="2099">
        <f t="shared" si="12"/>
        <v>70</v>
      </c>
      <c r="AQ118" s="2100">
        <f t="shared" si="13"/>
        <v>3</v>
      </c>
      <c r="AR118" s="2101">
        <f t="shared" si="10"/>
        <v>67</v>
      </c>
      <c r="AS118" s="2102">
        <f t="shared" si="11"/>
        <v>0.96</v>
      </c>
      <c r="AT118" s="1957"/>
      <c r="AU118" s="1957"/>
      <c r="AV118" s="1957"/>
      <c r="AW118" s="1957"/>
      <c r="AX118" s="2103"/>
      <c r="AY118" s="1957"/>
      <c r="AZ118" s="2089"/>
      <c r="BA118" s="2089"/>
      <c r="BB118" s="2089"/>
      <c r="BC118" s="2082"/>
      <c r="BD118" s="2082"/>
      <c r="BE118" s="2082"/>
      <c r="BF118" s="2082"/>
      <c r="BG118" s="34"/>
    </row>
    <row r="119" ht="11.25" hidden="1" customHeight="1">
      <c r="A119" s="1511" t="s">
        <v>189</v>
      </c>
      <c r="B119" s="365"/>
      <c r="C119" s="1567"/>
      <c r="J119" s="1568"/>
      <c r="K119" s="343"/>
      <c r="M119" s="263"/>
      <c r="N119" s="343"/>
      <c r="P119" s="263"/>
      <c r="Q119" s="344">
        <v>1.0</v>
      </c>
      <c r="S119" s="263"/>
      <c r="T119" s="346">
        <v>1.0</v>
      </c>
      <c r="W119" s="263"/>
      <c r="X119" s="346">
        <v>1.0</v>
      </c>
      <c r="Y119" s="263"/>
      <c r="Z119" s="346">
        <f t="shared" si="14"/>
        <v>0.88</v>
      </c>
      <c r="AB119" s="263"/>
      <c r="AC119" s="2093">
        <f t="shared" si="15"/>
        <v>0</v>
      </c>
      <c r="AF119" s="263"/>
      <c r="AG119" s="1569">
        <v>1.0</v>
      </c>
      <c r="AI119" s="263"/>
      <c r="AJ119" s="1556">
        <f t="shared" si="9"/>
        <v>0</v>
      </c>
      <c r="AM119" s="263"/>
      <c r="AN119" s="2076"/>
      <c r="AO119" s="1957"/>
      <c r="AP119" s="2104">
        <v>75.0</v>
      </c>
      <c r="AQ119" s="2105">
        <v>10.0</v>
      </c>
      <c r="AR119" s="2096">
        <f t="shared" si="10"/>
        <v>65</v>
      </c>
      <c r="AS119" s="2097">
        <f t="shared" si="11"/>
        <v>0.88</v>
      </c>
      <c r="AT119" s="1957"/>
      <c r="AU119" s="1957"/>
      <c r="AV119" s="1957"/>
      <c r="AW119" s="1957"/>
      <c r="AX119" s="2106"/>
      <c r="AY119" s="1957"/>
      <c r="AZ119" s="2089"/>
      <c r="BA119" s="2089"/>
      <c r="BB119" s="2089"/>
      <c r="BC119" s="2082"/>
      <c r="BD119" s="2082"/>
      <c r="BE119" s="2082"/>
      <c r="BF119" s="2082"/>
      <c r="BG119" s="34"/>
    </row>
    <row r="120" ht="11.25" hidden="1" customHeight="1">
      <c r="A120" s="1511" t="s">
        <v>190</v>
      </c>
      <c r="B120" s="365"/>
      <c r="C120" s="1567"/>
      <c r="J120" s="1568"/>
      <c r="K120" s="343"/>
      <c r="M120" s="263"/>
      <c r="N120" s="343"/>
      <c r="P120" s="263"/>
      <c r="Q120" s="344">
        <v>1.0</v>
      </c>
      <c r="S120" s="263"/>
      <c r="T120" s="346">
        <v>1.0</v>
      </c>
      <c r="W120" s="263"/>
      <c r="X120" s="346">
        <v>1.0</v>
      </c>
      <c r="Y120" s="263"/>
      <c r="Z120" s="346">
        <f t="shared" si="14"/>
        <v>0.88</v>
      </c>
      <c r="AB120" s="263"/>
      <c r="AC120" s="2093">
        <f t="shared" si="15"/>
        <v>0</v>
      </c>
      <c r="AF120" s="263"/>
      <c r="AG120" s="1569">
        <v>1.0</v>
      </c>
      <c r="AI120" s="263"/>
      <c r="AJ120" s="1556">
        <f t="shared" si="9"/>
        <v>0</v>
      </c>
      <c r="AM120" s="263"/>
      <c r="AN120" s="2076"/>
      <c r="AO120" s="1957"/>
      <c r="AP120" s="2104">
        <v>75.0</v>
      </c>
      <c r="AQ120" s="2105">
        <v>10.0</v>
      </c>
      <c r="AR120" s="2096">
        <f t="shared" si="10"/>
        <v>65</v>
      </c>
      <c r="AS120" s="2097">
        <f t="shared" si="11"/>
        <v>0.88</v>
      </c>
      <c r="AT120" s="1957"/>
      <c r="AU120" s="1957"/>
      <c r="AV120" s="1957"/>
      <c r="AW120" s="1957"/>
      <c r="AX120" s="2098"/>
      <c r="AY120" s="1957"/>
      <c r="AZ120" s="2089"/>
      <c r="BA120" s="2089"/>
      <c r="BB120" s="2089"/>
      <c r="BC120" s="2082"/>
      <c r="BD120" s="2082"/>
      <c r="BE120" s="2082"/>
      <c r="BF120" s="2082"/>
      <c r="BG120" s="34"/>
    </row>
    <row r="121" ht="11.25" hidden="1" customHeight="1">
      <c r="A121" s="1511" t="s">
        <v>191</v>
      </c>
      <c r="B121" s="263"/>
      <c r="C121" s="1567"/>
      <c r="J121" s="1568"/>
      <c r="K121" s="343"/>
      <c r="M121" s="263"/>
      <c r="N121" s="343"/>
      <c r="P121" s="263"/>
      <c r="Q121" s="344">
        <v>1.0</v>
      </c>
      <c r="S121" s="263"/>
      <c r="T121" s="346">
        <v>1.0</v>
      </c>
      <c r="W121" s="263"/>
      <c r="X121" s="346">
        <v>1.0</v>
      </c>
      <c r="Y121" s="263"/>
      <c r="Z121" s="346">
        <f t="shared" si="14"/>
        <v>0.88</v>
      </c>
      <c r="AB121" s="263"/>
      <c r="AC121" s="2093">
        <f t="shared" si="15"/>
        <v>0</v>
      </c>
      <c r="AF121" s="263"/>
      <c r="AG121" s="1569">
        <v>1.0</v>
      </c>
      <c r="AI121" s="263"/>
      <c r="AJ121" s="1556">
        <f t="shared" si="9"/>
        <v>0</v>
      </c>
      <c r="AM121" s="263"/>
      <c r="AN121" s="2076"/>
      <c r="AO121" s="1957"/>
      <c r="AP121" s="2104">
        <v>75.0</v>
      </c>
      <c r="AQ121" s="2105">
        <v>10.0</v>
      </c>
      <c r="AR121" s="2096">
        <f t="shared" si="10"/>
        <v>65</v>
      </c>
      <c r="AS121" s="2097">
        <f t="shared" si="11"/>
        <v>0.88</v>
      </c>
      <c r="AT121" s="1957"/>
      <c r="AU121" s="1957"/>
      <c r="AV121" s="1957"/>
      <c r="AW121" s="1957"/>
      <c r="AX121" s="2098"/>
      <c r="AY121" s="1957"/>
      <c r="AZ121" s="2089"/>
      <c r="BA121" s="2089"/>
      <c r="BB121" s="2089"/>
      <c r="BC121" s="2082"/>
      <c r="BD121" s="2082"/>
      <c r="BE121" s="2082"/>
      <c r="BF121" s="2082"/>
      <c r="BG121" s="34"/>
    </row>
    <row r="122" ht="11.25" hidden="1" customHeight="1">
      <c r="A122" s="1519" t="s">
        <v>192</v>
      </c>
      <c r="B122" s="371"/>
      <c r="C122" s="1570"/>
      <c r="D122" s="251"/>
      <c r="E122" s="251"/>
      <c r="F122" s="251"/>
      <c r="G122" s="251"/>
      <c r="H122" s="251"/>
      <c r="I122" s="251"/>
      <c r="J122" s="1571"/>
      <c r="K122" s="374"/>
      <c r="L122" s="251"/>
      <c r="M122" s="261"/>
      <c r="N122" s="374"/>
      <c r="O122" s="251"/>
      <c r="P122" s="261"/>
      <c r="Q122" s="344">
        <v>1.0</v>
      </c>
      <c r="S122" s="263"/>
      <c r="T122" s="1621">
        <v>1.0</v>
      </c>
      <c r="U122" s="251"/>
      <c r="V122" s="251"/>
      <c r="W122" s="261"/>
      <c r="X122" s="1621">
        <v>1.0</v>
      </c>
      <c r="Y122" s="261"/>
      <c r="Z122" s="1621">
        <f t="shared" si="14"/>
        <v>0.88</v>
      </c>
      <c r="AA122" s="251"/>
      <c r="AB122" s="261"/>
      <c r="AC122" s="2107">
        <f t="shared" si="15"/>
        <v>0</v>
      </c>
      <c r="AD122" s="251"/>
      <c r="AE122" s="251"/>
      <c r="AF122" s="261"/>
      <c r="AG122" s="1569">
        <v>1.0</v>
      </c>
      <c r="AI122" s="263"/>
      <c r="AJ122" s="1556">
        <f t="shared" si="9"/>
        <v>0</v>
      </c>
      <c r="AM122" s="263"/>
      <c r="AN122" s="2076"/>
      <c r="AO122" s="1957"/>
      <c r="AP122" s="2108">
        <v>75.0</v>
      </c>
      <c r="AQ122" s="2109">
        <v>10.0</v>
      </c>
      <c r="AR122" s="2101">
        <f t="shared" si="10"/>
        <v>65</v>
      </c>
      <c r="AS122" s="2102">
        <f t="shared" si="11"/>
        <v>0.88</v>
      </c>
      <c r="AT122" s="1957"/>
      <c r="AU122" s="1957"/>
      <c r="AV122" s="1957"/>
      <c r="AW122" s="1957"/>
      <c r="AX122" s="2098"/>
      <c r="AY122" s="1957"/>
      <c r="AZ122" s="2089"/>
      <c r="BA122" s="2089"/>
      <c r="BB122" s="2089"/>
      <c r="BC122" s="2082"/>
      <c r="BD122" s="2082"/>
      <c r="BE122" s="2082"/>
      <c r="BF122" s="2082"/>
      <c r="BG122" s="34"/>
    </row>
    <row r="123" ht="12.75" customHeight="1">
      <c r="A123" s="1572"/>
      <c r="B123" s="86"/>
      <c r="C123" s="1573" t="s">
        <v>193</v>
      </c>
      <c r="D123" s="85"/>
      <c r="E123" s="85"/>
      <c r="F123" s="85"/>
      <c r="G123" s="85"/>
      <c r="H123" s="85"/>
      <c r="I123" s="85"/>
      <c r="J123" s="1574"/>
      <c r="K123" s="2110">
        <f>SUM(K115:K122)</f>
        <v>74.2</v>
      </c>
      <c r="L123" s="85"/>
      <c r="M123" s="86"/>
      <c r="N123" s="2110"/>
      <c r="O123" s="85"/>
      <c r="P123" s="86"/>
      <c r="Q123" s="1577"/>
      <c r="R123" s="1577"/>
      <c r="S123" s="1577"/>
      <c r="T123" s="1577"/>
      <c r="U123" s="1577"/>
      <c r="V123" s="1577"/>
      <c r="W123" s="1577"/>
      <c r="X123" s="1577"/>
      <c r="Y123" s="1577"/>
      <c r="Z123" s="1574"/>
      <c r="AA123" s="1574"/>
      <c r="AB123" s="1574"/>
      <c r="AC123" s="1577"/>
      <c r="AD123" s="1577"/>
      <c r="AE123" s="1577"/>
      <c r="AF123" s="1496"/>
      <c r="AG123" s="1496"/>
      <c r="AH123" s="1578" t="s">
        <v>194</v>
      </c>
      <c r="AI123" s="1579"/>
      <c r="AJ123" s="1195">
        <f>SUM(AJ115:AJ122)</f>
        <v>835989.012</v>
      </c>
      <c r="AK123" s="85"/>
      <c r="AL123" s="85"/>
      <c r="AM123" s="86"/>
      <c r="AN123" s="2070">
        <f>AJ123/$AJ$159</f>
        <v>0.4618349707</v>
      </c>
      <c r="AO123" s="1957"/>
      <c r="AP123" s="1963"/>
      <c r="AQ123" s="1963"/>
      <c r="AR123" s="1963"/>
      <c r="AS123" s="1957"/>
      <c r="AT123" s="1957"/>
      <c r="AU123" s="1957"/>
      <c r="AV123" s="1957"/>
      <c r="AW123" s="1957"/>
      <c r="AX123" s="1957"/>
      <c r="AY123" s="1957"/>
      <c r="AZ123" s="2111"/>
      <c r="BA123" s="2111"/>
      <c r="BB123" s="2111"/>
      <c r="BC123" s="2082"/>
      <c r="BD123" s="2082"/>
      <c r="BE123" s="2082"/>
      <c r="BF123" s="2082"/>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2"/>
      <c r="AO124" s="1471"/>
      <c r="AP124" s="1963"/>
      <c r="AQ124" s="1963"/>
      <c r="AR124" s="1963"/>
      <c r="AS124" s="1471"/>
      <c r="AT124" s="1471"/>
      <c r="AU124" s="1471"/>
      <c r="AV124" s="1471"/>
      <c r="AW124" s="1471"/>
      <c r="AX124" s="1471"/>
      <c r="AY124" s="1471"/>
      <c r="AZ124" s="2111"/>
      <c r="BA124" s="2111"/>
      <c r="BB124" s="2111"/>
      <c r="BC124" s="2082"/>
      <c r="BD124" s="2082"/>
      <c r="BE124" s="2082"/>
      <c r="BF124" s="2082"/>
      <c r="BG124" s="34"/>
      <c r="BH124" s="34"/>
      <c r="BI124" s="34"/>
      <c r="BJ124" s="34"/>
      <c r="BK124" s="34"/>
      <c r="BL124" s="34"/>
      <c r="BM124" s="34"/>
      <c r="BN124" s="34"/>
      <c r="BO124" s="34"/>
      <c r="BP124" s="34"/>
      <c r="BQ124" s="34"/>
      <c r="BR124" s="34"/>
    </row>
    <row r="125" ht="12.75" customHeight="1">
      <c r="A125" s="307"/>
      <c r="B125" s="92"/>
      <c r="C125" s="2113" t="s">
        <v>733</v>
      </c>
      <c r="D125" s="308"/>
      <c r="E125" s="309"/>
      <c r="F125" s="309"/>
      <c r="G125" s="309"/>
      <c r="H125" s="309"/>
      <c r="I125" s="310"/>
      <c r="J125" s="310"/>
      <c r="K125" s="309"/>
      <c r="L125" s="309"/>
      <c r="M125" s="309"/>
      <c r="N125" s="309"/>
      <c r="O125" s="92"/>
      <c r="P125" s="407" t="s">
        <v>175</v>
      </c>
      <c r="Q125" s="255"/>
      <c r="R125" s="255"/>
      <c r="S125" s="253"/>
      <c r="T125" s="312" t="s">
        <v>176</v>
      </c>
      <c r="U125" s="85"/>
      <c r="V125" s="85"/>
      <c r="W125" s="85"/>
      <c r="X125" s="85"/>
      <c r="Y125" s="85"/>
      <c r="Z125" s="85"/>
      <c r="AA125" s="85"/>
      <c r="AB125" s="86"/>
      <c r="AC125" s="254" t="s">
        <v>177</v>
      </c>
      <c r="AD125" s="255"/>
      <c r="AE125" s="255"/>
      <c r="AF125" s="253"/>
      <c r="AG125" s="254" t="s">
        <v>160</v>
      </c>
      <c r="AH125" s="255"/>
      <c r="AI125" s="253"/>
      <c r="AJ125" s="254" t="s">
        <v>161</v>
      </c>
      <c r="AK125" s="255"/>
      <c r="AL125" s="255"/>
      <c r="AM125" s="253"/>
      <c r="AN125" s="2114"/>
      <c r="AO125" s="1471"/>
      <c r="AP125" s="1536"/>
      <c r="AQ125" s="1536"/>
      <c r="AR125" s="1536"/>
      <c r="AS125" s="1536"/>
      <c r="AT125" s="1471"/>
      <c r="AU125" s="1471"/>
      <c r="AV125" s="1471"/>
      <c r="AW125" s="1471"/>
      <c r="AX125" s="1471"/>
      <c r="AY125" s="1471"/>
      <c r="AZ125" s="2111"/>
      <c r="BA125" s="2111"/>
      <c r="BB125" s="2111"/>
      <c r="BC125" s="2082"/>
      <c r="BD125" s="2082"/>
      <c r="BE125" s="2082"/>
      <c r="BF125" s="2082"/>
      <c r="BG125" s="34"/>
      <c r="BH125" s="34"/>
      <c r="BI125" s="34"/>
      <c r="BJ125" s="34"/>
      <c r="BK125" s="34"/>
      <c r="BL125" s="34"/>
      <c r="BM125" s="34"/>
      <c r="BN125" s="34"/>
      <c r="BO125" s="34"/>
      <c r="BP125" s="34"/>
      <c r="BQ125" s="34"/>
      <c r="BR125" s="34"/>
    </row>
    <row r="126" ht="12.75" customHeight="1">
      <c r="A126" s="1500" t="s">
        <v>178</v>
      </c>
      <c r="B126" s="253"/>
      <c r="C126" s="1542" t="s">
        <v>179</v>
      </c>
      <c r="D126" s="85"/>
      <c r="E126" s="85"/>
      <c r="F126" s="85"/>
      <c r="G126" s="85"/>
      <c r="H126" s="85"/>
      <c r="I126" s="85"/>
      <c r="J126" s="86"/>
      <c r="K126" s="1542" t="s">
        <v>156</v>
      </c>
      <c r="L126" s="85"/>
      <c r="M126" s="85"/>
      <c r="N126" s="85"/>
      <c r="O126" s="86"/>
      <c r="P126" s="1519"/>
      <c r="Q126" s="251"/>
      <c r="R126" s="251"/>
      <c r="S126" s="261"/>
      <c r="T126" s="1519" t="s">
        <v>734</v>
      </c>
      <c r="U126" s="251"/>
      <c r="V126" s="251"/>
      <c r="W126" s="261"/>
      <c r="X126" s="322" t="s">
        <v>182</v>
      </c>
      <c r="Y126" s="263"/>
      <c r="Z126" s="1519" t="s">
        <v>129</v>
      </c>
      <c r="AA126" s="251"/>
      <c r="AB126" s="261"/>
      <c r="AC126" s="1497" t="s">
        <v>183</v>
      </c>
      <c r="AF126" s="263"/>
      <c r="AG126" s="1499"/>
      <c r="AH126" s="251"/>
      <c r="AI126" s="261"/>
      <c r="AJ126" s="1497" t="s">
        <v>169</v>
      </c>
      <c r="AM126" s="263"/>
      <c r="AN126" s="2114"/>
      <c r="AO126" s="1471"/>
      <c r="AP126" s="2077" t="s">
        <v>200</v>
      </c>
      <c r="AQ126" s="2078" t="s">
        <v>129</v>
      </c>
      <c r="AR126" s="2078" t="s">
        <v>184</v>
      </c>
      <c r="AS126" s="2079"/>
      <c r="AT126" s="1471"/>
      <c r="AU126" s="1471"/>
      <c r="AV126" s="1471"/>
      <c r="AW126" s="1471"/>
      <c r="AX126" s="1471"/>
      <c r="AY126" s="1471"/>
      <c r="AZ126" s="2111"/>
      <c r="BA126" s="2111"/>
      <c r="BB126" s="2111"/>
      <c r="BC126" s="2082"/>
      <c r="BD126" s="2082"/>
      <c r="BE126" s="2082"/>
      <c r="BF126" s="2082"/>
      <c r="BG126" s="34"/>
      <c r="BH126" s="34"/>
      <c r="BI126" s="34"/>
      <c r="BJ126" s="34"/>
      <c r="BK126" s="34"/>
      <c r="BL126" s="34"/>
      <c r="BM126" s="34"/>
      <c r="BN126" s="34"/>
      <c r="BO126" s="34"/>
      <c r="BP126" s="34"/>
      <c r="BQ126" s="34"/>
      <c r="BR126" s="34"/>
    </row>
    <row r="127" ht="12.75" customHeight="1">
      <c r="A127" s="1511" t="s">
        <v>185</v>
      </c>
      <c r="B127" s="263"/>
      <c r="C127" s="1546" t="s">
        <v>775</v>
      </c>
      <c r="D127" s="255"/>
      <c r="E127" s="255"/>
      <c r="F127" s="255"/>
      <c r="G127" s="255"/>
      <c r="H127" s="255"/>
      <c r="I127" s="255"/>
      <c r="J127" s="253"/>
      <c r="K127" s="2115">
        <v>0.0</v>
      </c>
      <c r="L127" s="255"/>
      <c r="M127" s="255"/>
      <c r="N127" s="255"/>
      <c r="O127" s="253"/>
      <c r="P127" s="331">
        <v>0.0</v>
      </c>
      <c r="Q127" s="255"/>
      <c r="R127" s="255"/>
      <c r="S127" s="253"/>
      <c r="T127" s="333">
        <v>0.85</v>
      </c>
      <c r="U127" s="255"/>
      <c r="V127" s="255"/>
      <c r="W127" s="253"/>
      <c r="X127" s="334">
        <v>1.0</v>
      </c>
      <c r="Y127" s="253"/>
      <c r="Z127" s="334">
        <f>IF(AS127&lt;0.2,"0.20",AS127)</f>
        <v>0.73</v>
      </c>
      <c r="AA127" s="255"/>
      <c r="AB127" s="253"/>
      <c r="AC127" s="1547">
        <f t="shared" ref="AC127:AC134" si="16">Z127*X127*T127*P127</f>
        <v>0</v>
      </c>
      <c r="AD127" s="255"/>
      <c r="AE127" s="255"/>
      <c r="AF127" s="253"/>
      <c r="AG127" s="1548">
        <v>1.0</v>
      </c>
      <c r="AH127" s="255"/>
      <c r="AI127" s="253"/>
      <c r="AJ127" s="1549">
        <f t="shared" ref="AJ127:AJ134" si="17">K127*AC127*AG127</f>
        <v>0</v>
      </c>
      <c r="AK127" s="255"/>
      <c r="AL127" s="255"/>
      <c r="AM127" s="253"/>
      <c r="AN127" s="2114"/>
      <c r="AO127" s="1471"/>
      <c r="AP127" s="2085">
        <f>+F86</f>
        <v>70</v>
      </c>
      <c r="AQ127" s="2086">
        <f>+A86</f>
        <v>21</v>
      </c>
      <c r="AR127" s="2087">
        <f t="shared" ref="AR127:AR134" si="19">AP127-AQ127</f>
        <v>49</v>
      </c>
      <c r="AS127" s="2088">
        <f t="shared" ref="AS127:AS134" si="20">ROUND(((0.1*AP127)+(0.9*AR127))/AP127,2)</f>
        <v>0.73</v>
      </c>
      <c r="AT127" s="1471"/>
      <c r="AU127" s="1471"/>
      <c r="AV127" s="1471"/>
      <c r="AW127" s="1471"/>
      <c r="AX127" s="1471"/>
      <c r="AY127" s="1471"/>
      <c r="AZ127" s="2111"/>
      <c r="BA127" s="2111"/>
      <c r="BB127" s="2111"/>
      <c r="BC127" s="2082"/>
      <c r="BD127" s="2082"/>
      <c r="BE127" s="2082"/>
      <c r="BF127" s="2082"/>
      <c r="BG127" s="34"/>
      <c r="BH127" s="34"/>
      <c r="BI127" s="34"/>
      <c r="BJ127" s="34"/>
      <c r="BK127" s="34"/>
      <c r="BL127" s="34"/>
      <c r="BM127" s="34"/>
      <c r="BN127" s="34"/>
      <c r="BO127" s="34"/>
      <c r="BP127" s="34"/>
      <c r="BQ127" s="34"/>
      <c r="BR127" s="34"/>
    </row>
    <row r="128" ht="12.75" customHeight="1">
      <c r="A128" s="1511" t="s">
        <v>186</v>
      </c>
      <c r="B128" s="263"/>
      <c r="C128" s="2090" t="s">
        <v>775</v>
      </c>
      <c r="J128" s="263"/>
      <c r="K128" s="2116"/>
      <c r="O128" s="263"/>
      <c r="P128" s="2117"/>
      <c r="S128" s="263"/>
      <c r="T128" s="346">
        <v>1.0</v>
      </c>
      <c r="W128" s="263"/>
      <c r="X128" s="346">
        <v>1.0</v>
      </c>
      <c r="Y128" s="263"/>
      <c r="Z128" s="346">
        <f t="shared" ref="Z128:Z134" si="21">IF(AS128&lt;0.6,"0.60",AS128)</f>
        <v>0.73</v>
      </c>
      <c r="AB128" s="263"/>
      <c r="AC128" s="1554">
        <f t="shared" si="16"/>
        <v>0</v>
      </c>
      <c r="AF128" s="263"/>
      <c r="AG128" s="1555">
        <v>1.0</v>
      </c>
      <c r="AI128" s="263"/>
      <c r="AJ128" s="1556">
        <f t="shared" si="17"/>
        <v>0</v>
      </c>
      <c r="AM128" s="263"/>
      <c r="AN128" s="2114"/>
      <c r="AO128" s="1471"/>
      <c r="AP128" s="2094">
        <f t="shared" ref="AP128:AQ128" si="18">+AP127</f>
        <v>70</v>
      </c>
      <c r="AQ128" s="2095">
        <f t="shared" si="18"/>
        <v>21</v>
      </c>
      <c r="AR128" s="2096">
        <f t="shared" si="19"/>
        <v>49</v>
      </c>
      <c r="AS128" s="2097">
        <f t="shared" si="20"/>
        <v>0.73</v>
      </c>
      <c r="AT128" s="1471"/>
      <c r="AU128" s="1471"/>
      <c r="AV128" s="1471"/>
      <c r="AW128" s="1471"/>
      <c r="AX128" s="1471"/>
      <c r="AY128" s="1471"/>
      <c r="AZ128" s="2111"/>
      <c r="BA128" s="2111"/>
      <c r="BB128" s="2111"/>
      <c r="BC128" s="2082"/>
      <c r="BD128" s="2082"/>
      <c r="BE128" s="2082"/>
      <c r="BF128" s="2082"/>
      <c r="BG128" s="34"/>
      <c r="BH128" s="34"/>
      <c r="BI128" s="34"/>
      <c r="BJ128" s="34"/>
      <c r="BK128" s="34"/>
      <c r="BL128" s="34"/>
      <c r="BM128" s="34"/>
      <c r="BN128" s="34"/>
      <c r="BO128" s="34"/>
      <c r="BP128" s="34"/>
      <c r="BQ128" s="34"/>
      <c r="BR128" s="34"/>
    </row>
    <row r="129" ht="12.75" hidden="1" customHeight="1">
      <c r="A129" s="1511" t="s">
        <v>187</v>
      </c>
      <c r="B129" s="263"/>
      <c r="C129" s="1552"/>
      <c r="J129" s="263"/>
      <c r="K129" s="2116"/>
      <c r="O129" s="263"/>
      <c r="P129" s="2117"/>
      <c r="S129" s="263"/>
      <c r="T129" s="346">
        <v>1.0</v>
      </c>
      <c r="W129" s="263"/>
      <c r="X129" s="346">
        <v>1.0</v>
      </c>
      <c r="Y129" s="263"/>
      <c r="Z129" s="346">
        <f t="shared" si="21"/>
        <v>0.73</v>
      </c>
      <c r="AB129" s="263"/>
      <c r="AC129" s="1554">
        <f t="shared" si="16"/>
        <v>0</v>
      </c>
      <c r="AF129" s="263"/>
      <c r="AG129" s="1555">
        <v>1.0</v>
      </c>
      <c r="AI129" s="263"/>
      <c r="AJ129" s="1556">
        <f t="shared" si="17"/>
        <v>0</v>
      </c>
      <c r="AM129" s="263"/>
      <c r="AN129" s="2114"/>
      <c r="AO129" s="1471"/>
      <c r="AP129" s="2094">
        <f t="shared" ref="AP129:AQ129" si="22">+AP128</f>
        <v>70</v>
      </c>
      <c r="AQ129" s="2095">
        <f t="shared" si="22"/>
        <v>21</v>
      </c>
      <c r="AR129" s="2096">
        <f t="shared" si="19"/>
        <v>49</v>
      </c>
      <c r="AS129" s="2097">
        <f t="shared" si="20"/>
        <v>0.73</v>
      </c>
      <c r="AT129" s="1471"/>
      <c r="AU129" s="1471"/>
      <c r="AV129" s="1471"/>
      <c r="AW129" s="1471"/>
      <c r="AX129" s="1471"/>
      <c r="AY129" s="1471"/>
      <c r="AZ129" s="2111"/>
      <c r="BA129" s="2111"/>
      <c r="BB129" s="2111"/>
      <c r="BC129" s="2082"/>
      <c r="BD129" s="2082"/>
      <c r="BE129" s="2082"/>
      <c r="BF129" s="2082"/>
      <c r="BG129" s="34"/>
      <c r="BH129" s="34"/>
      <c r="BI129" s="34"/>
      <c r="BJ129" s="34"/>
      <c r="BK129" s="34"/>
      <c r="BL129" s="34"/>
      <c r="BM129" s="34"/>
      <c r="BN129" s="34"/>
      <c r="BO129" s="34"/>
      <c r="BP129" s="34"/>
      <c r="BQ129" s="34"/>
      <c r="BR129" s="34"/>
    </row>
    <row r="130" ht="12.75" hidden="1" customHeight="1">
      <c r="A130" s="1511" t="s">
        <v>188</v>
      </c>
      <c r="B130" s="263"/>
      <c r="C130" s="1552"/>
      <c r="J130" s="263"/>
      <c r="K130" s="2116"/>
      <c r="O130" s="263"/>
      <c r="P130" s="2117"/>
      <c r="S130" s="263"/>
      <c r="T130" s="346">
        <v>1.0</v>
      </c>
      <c r="W130" s="263"/>
      <c r="X130" s="346">
        <v>1.0</v>
      </c>
      <c r="Y130" s="263"/>
      <c r="Z130" s="346">
        <f t="shared" si="21"/>
        <v>0.73</v>
      </c>
      <c r="AB130" s="263"/>
      <c r="AC130" s="1554">
        <f t="shared" si="16"/>
        <v>0</v>
      </c>
      <c r="AF130" s="263"/>
      <c r="AG130" s="1555">
        <v>1.0</v>
      </c>
      <c r="AI130" s="263"/>
      <c r="AJ130" s="1556">
        <f t="shared" si="17"/>
        <v>0</v>
      </c>
      <c r="AM130" s="263"/>
      <c r="AN130" s="2114"/>
      <c r="AO130" s="1471"/>
      <c r="AP130" s="2099">
        <f t="shared" ref="AP130:AQ130" si="23">+AP129</f>
        <v>70</v>
      </c>
      <c r="AQ130" s="2100">
        <f t="shared" si="23"/>
        <v>21</v>
      </c>
      <c r="AR130" s="2101">
        <f t="shared" si="19"/>
        <v>49</v>
      </c>
      <c r="AS130" s="2102">
        <f t="shared" si="20"/>
        <v>0.73</v>
      </c>
      <c r="AT130" s="1471"/>
      <c r="AU130" s="1471"/>
      <c r="AV130" s="1471"/>
      <c r="AW130" s="1471"/>
      <c r="AX130" s="1471"/>
      <c r="AY130" s="1471"/>
      <c r="AZ130" s="2111"/>
      <c r="BA130" s="2111"/>
      <c r="BB130" s="2111"/>
      <c r="BC130" s="2082"/>
      <c r="BD130" s="2082"/>
      <c r="BE130" s="2082"/>
      <c r="BF130" s="2082"/>
      <c r="BG130" s="34"/>
      <c r="BH130" s="34"/>
      <c r="BI130" s="34"/>
      <c r="BJ130" s="34"/>
      <c r="BK130" s="34"/>
      <c r="BL130" s="34"/>
      <c r="BM130" s="34"/>
      <c r="BN130" s="34"/>
      <c r="BO130" s="34"/>
      <c r="BP130" s="34"/>
      <c r="BQ130" s="34"/>
      <c r="BR130" s="34"/>
    </row>
    <row r="131" ht="12.75" hidden="1" customHeight="1">
      <c r="A131" s="1511" t="s">
        <v>189</v>
      </c>
      <c r="B131" s="365"/>
      <c r="C131" s="1567"/>
      <c r="J131" s="1568"/>
      <c r="K131" s="2116"/>
      <c r="O131" s="263"/>
      <c r="P131" s="2117"/>
      <c r="S131" s="263"/>
      <c r="T131" s="346">
        <v>1.0</v>
      </c>
      <c r="W131" s="263"/>
      <c r="X131" s="346">
        <v>1.0</v>
      </c>
      <c r="Y131" s="263"/>
      <c r="Z131" s="346">
        <f t="shared" si="21"/>
        <v>0.88</v>
      </c>
      <c r="AB131" s="263"/>
      <c r="AC131" s="1554">
        <f t="shared" si="16"/>
        <v>0</v>
      </c>
      <c r="AF131" s="263"/>
      <c r="AG131" s="1569">
        <v>1.0</v>
      </c>
      <c r="AI131" s="263"/>
      <c r="AJ131" s="1556">
        <f t="shared" si="17"/>
        <v>0</v>
      </c>
      <c r="AM131" s="263"/>
      <c r="AN131" s="2114"/>
      <c r="AO131" s="1471"/>
      <c r="AP131" s="2104">
        <v>75.0</v>
      </c>
      <c r="AQ131" s="2105">
        <v>10.0</v>
      </c>
      <c r="AR131" s="2096">
        <f t="shared" si="19"/>
        <v>65</v>
      </c>
      <c r="AS131" s="2097">
        <f t="shared" si="20"/>
        <v>0.88</v>
      </c>
      <c r="AT131" s="1471"/>
      <c r="AU131" s="1471"/>
      <c r="AV131" s="1471"/>
      <c r="AW131" s="1471"/>
      <c r="AX131" s="1471"/>
      <c r="AY131" s="1471"/>
      <c r="AZ131" s="2111"/>
      <c r="BA131" s="2111"/>
      <c r="BB131" s="2111"/>
      <c r="BC131" s="2082"/>
      <c r="BD131" s="2082"/>
      <c r="BE131" s="2082"/>
      <c r="BF131" s="2082"/>
      <c r="BG131" s="34"/>
      <c r="BH131" s="34"/>
      <c r="BI131" s="34"/>
      <c r="BJ131" s="34"/>
      <c r="BK131" s="34"/>
      <c r="BL131" s="34"/>
      <c r="BM131" s="34"/>
      <c r="BN131" s="34"/>
      <c r="BO131" s="34"/>
      <c r="BP131" s="34"/>
      <c r="BQ131" s="34"/>
      <c r="BR131" s="34"/>
    </row>
    <row r="132" ht="12.75" hidden="1" customHeight="1">
      <c r="A132" s="1511" t="s">
        <v>190</v>
      </c>
      <c r="B132" s="365"/>
      <c r="C132" s="1567"/>
      <c r="J132" s="1568"/>
      <c r="K132" s="2116"/>
      <c r="O132" s="263"/>
      <c r="P132" s="2117"/>
      <c r="S132" s="263"/>
      <c r="T132" s="346">
        <v>1.0</v>
      </c>
      <c r="W132" s="263"/>
      <c r="X132" s="346">
        <v>1.0</v>
      </c>
      <c r="Y132" s="263"/>
      <c r="Z132" s="346">
        <f t="shared" si="21"/>
        <v>0.88</v>
      </c>
      <c r="AB132" s="263"/>
      <c r="AC132" s="1554">
        <f t="shared" si="16"/>
        <v>0</v>
      </c>
      <c r="AF132" s="263"/>
      <c r="AG132" s="1569">
        <v>1.0</v>
      </c>
      <c r="AI132" s="263"/>
      <c r="AJ132" s="1556">
        <f t="shared" si="17"/>
        <v>0</v>
      </c>
      <c r="AM132" s="263"/>
      <c r="AN132" s="2114"/>
      <c r="AO132" s="1471"/>
      <c r="AP132" s="2104">
        <v>75.0</v>
      </c>
      <c r="AQ132" s="2105">
        <v>10.0</v>
      </c>
      <c r="AR132" s="2096">
        <f t="shared" si="19"/>
        <v>65</v>
      </c>
      <c r="AS132" s="2097">
        <f t="shared" si="20"/>
        <v>0.88</v>
      </c>
      <c r="AT132" s="1471"/>
      <c r="AU132" s="1471"/>
      <c r="AV132" s="1471"/>
      <c r="AW132" s="1471"/>
      <c r="AX132" s="1471"/>
      <c r="AY132" s="1471"/>
      <c r="AZ132" s="2111"/>
      <c r="BA132" s="2111"/>
      <c r="BB132" s="2111"/>
      <c r="BC132" s="2082"/>
      <c r="BD132" s="2082"/>
      <c r="BE132" s="2082"/>
      <c r="BF132" s="2082"/>
      <c r="BG132" s="34"/>
      <c r="BH132" s="34"/>
      <c r="BI132" s="34"/>
      <c r="BJ132" s="34"/>
      <c r="BK132" s="34"/>
      <c r="BL132" s="34"/>
      <c r="BM132" s="34"/>
      <c r="BN132" s="34"/>
      <c r="BO132" s="34"/>
      <c r="BP132" s="34"/>
      <c r="BQ132" s="34"/>
      <c r="BR132" s="34"/>
    </row>
    <row r="133" ht="12.75" hidden="1" customHeight="1">
      <c r="A133" s="1511" t="s">
        <v>191</v>
      </c>
      <c r="B133" s="263"/>
      <c r="C133" s="1567"/>
      <c r="J133" s="1568"/>
      <c r="K133" s="2116"/>
      <c r="O133" s="263"/>
      <c r="P133" s="2117"/>
      <c r="S133" s="263"/>
      <c r="T133" s="346">
        <v>1.0</v>
      </c>
      <c r="W133" s="263"/>
      <c r="X133" s="346">
        <v>1.0</v>
      </c>
      <c r="Y133" s="263"/>
      <c r="Z133" s="346">
        <f t="shared" si="21"/>
        <v>0.88</v>
      </c>
      <c r="AB133" s="263"/>
      <c r="AC133" s="1554">
        <f t="shared" si="16"/>
        <v>0</v>
      </c>
      <c r="AF133" s="263"/>
      <c r="AG133" s="1569">
        <v>1.0</v>
      </c>
      <c r="AI133" s="263"/>
      <c r="AJ133" s="1556">
        <f t="shared" si="17"/>
        <v>0</v>
      </c>
      <c r="AM133" s="263"/>
      <c r="AN133" s="2114"/>
      <c r="AO133" s="1471"/>
      <c r="AP133" s="2104">
        <v>75.0</v>
      </c>
      <c r="AQ133" s="2105">
        <v>10.0</v>
      </c>
      <c r="AR133" s="2096">
        <f t="shared" si="19"/>
        <v>65</v>
      </c>
      <c r="AS133" s="2097">
        <f t="shared" si="20"/>
        <v>0.88</v>
      </c>
      <c r="AT133" s="1471"/>
      <c r="AU133" s="1471"/>
      <c r="AV133" s="1471"/>
      <c r="AW133" s="1471"/>
      <c r="AX133" s="1471"/>
      <c r="AY133" s="1471"/>
      <c r="AZ133" s="2111"/>
      <c r="BA133" s="2111"/>
      <c r="BB133" s="2111"/>
      <c r="BC133" s="2082"/>
      <c r="BD133" s="2082"/>
      <c r="BE133" s="2082"/>
      <c r="BF133" s="2082"/>
      <c r="BG133" s="34"/>
      <c r="BH133" s="34"/>
      <c r="BI133" s="34"/>
      <c r="BJ133" s="34"/>
      <c r="BK133" s="34"/>
      <c r="BL133" s="34"/>
      <c r="BM133" s="34"/>
      <c r="BN133" s="34"/>
      <c r="BO133" s="34"/>
      <c r="BP133" s="34"/>
      <c r="BQ133" s="34"/>
      <c r="BR133" s="34"/>
    </row>
    <row r="134" ht="12.75" hidden="1" customHeight="1">
      <c r="A134" s="1519" t="s">
        <v>192</v>
      </c>
      <c r="B134" s="371"/>
      <c r="C134" s="1570"/>
      <c r="D134" s="251"/>
      <c r="E134" s="251"/>
      <c r="F134" s="251"/>
      <c r="G134" s="251"/>
      <c r="H134" s="251"/>
      <c r="I134" s="251"/>
      <c r="J134" s="1571"/>
      <c r="K134" s="2118"/>
      <c r="L134" s="251"/>
      <c r="M134" s="251"/>
      <c r="N134" s="251"/>
      <c r="O134" s="261"/>
      <c r="P134" s="2119"/>
      <c r="Q134" s="251"/>
      <c r="R134" s="251"/>
      <c r="S134" s="261"/>
      <c r="T134" s="1621">
        <v>1.0</v>
      </c>
      <c r="U134" s="251"/>
      <c r="V134" s="251"/>
      <c r="W134" s="261"/>
      <c r="X134" s="1621">
        <v>1.0</v>
      </c>
      <c r="Y134" s="261"/>
      <c r="Z134" s="346">
        <f t="shared" si="21"/>
        <v>0.88</v>
      </c>
      <c r="AB134" s="263"/>
      <c r="AC134" s="2120">
        <f t="shared" si="16"/>
        <v>0</v>
      </c>
      <c r="AD134" s="251"/>
      <c r="AE134" s="251"/>
      <c r="AF134" s="261"/>
      <c r="AG134" s="1569">
        <v>1.0</v>
      </c>
      <c r="AI134" s="263"/>
      <c r="AJ134" s="1556">
        <f t="shared" si="17"/>
        <v>0</v>
      </c>
      <c r="AM134" s="263"/>
      <c r="AN134" s="2114"/>
      <c r="AO134" s="1471"/>
      <c r="AP134" s="2108">
        <v>75.0</v>
      </c>
      <c r="AQ134" s="2109">
        <v>10.0</v>
      </c>
      <c r="AR134" s="2101">
        <f t="shared" si="19"/>
        <v>65</v>
      </c>
      <c r="AS134" s="2102">
        <f t="shared" si="20"/>
        <v>0.88</v>
      </c>
      <c r="AT134" s="1471"/>
      <c r="AU134" s="1471"/>
      <c r="AV134" s="1471"/>
      <c r="AW134" s="1471"/>
      <c r="AX134" s="1471"/>
      <c r="AY134" s="1471"/>
      <c r="AZ134" s="2111"/>
      <c r="BA134" s="2111"/>
      <c r="BB134" s="2111"/>
      <c r="BC134" s="2082"/>
      <c r="BD134" s="2082"/>
      <c r="BE134" s="2082"/>
      <c r="BF134" s="2082"/>
      <c r="BG134" s="34"/>
      <c r="BH134" s="34"/>
      <c r="BI134" s="34"/>
      <c r="BJ134" s="34"/>
      <c r="BK134" s="34"/>
      <c r="BL134" s="34"/>
      <c r="BM134" s="34"/>
      <c r="BN134" s="34"/>
      <c r="BO134" s="34"/>
      <c r="BP134" s="34"/>
      <c r="BQ134" s="34"/>
      <c r="BR134" s="34"/>
    </row>
    <row r="135" ht="12.75" customHeight="1">
      <c r="A135" s="1572"/>
      <c r="B135" s="86"/>
      <c r="C135" s="1573" t="s">
        <v>193</v>
      </c>
      <c r="D135" s="85"/>
      <c r="E135" s="85"/>
      <c r="F135" s="85"/>
      <c r="G135" s="85"/>
      <c r="H135" s="85"/>
      <c r="I135" s="85"/>
      <c r="J135" s="1574"/>
      <c r="K135" s="2110">
        <f>SUM(K127:K134)</f>
        <v>0</v>
      </c>
      <c r="L135" s="85"/>
      <c r="M135" s="85"/>
      <c r="N135" s="85"/>
      <c r="O135" s="86"/>
      <c r="P135" s="2121"/>
      <c r="Q135" s="1577"/>
      <c r="R135" s="1577"/>
      <c r="S135" s="1577"/>
      <c r="T135" s="1577"/>
      <c r="U135" s="1577"/>
      <c r="V135" s="1577"/>
      <c r="W135" s="1577"/>
      <c r="X135" s="1577"/>
      <c r="Y135" s="1577"/>
      <c r="Z135" s="1574"/>
      <c r="AA135" s="1574"/>
      <c r="AB135" s="1574"/>
      <c r="AC135" s="1577"/>
      <c r="AD135" s="1577"/>
      <c r="AE135" s="1577"/>
      <c r="AF135" s="1496"/>
      <c r="AG135" s="1496"/>
      <c r="AH135" s="1578" t="s">
        <v>194</v>
      </c>
      <c r="AI135" s="1579"/>
      <c r="AJ135" s="1195">
        <f>SUM(AJ127:AJ134)</f>
        <v>0</v>
      </c>
      <c r="AK135" s="85"/>
      <c r="AL135" s="85"/>
      <c r="AM135" s="86"/>
      <c r="AN135" s="2070">
        <f>AJ135/$AJ$159</f>
        <v>0</v>
      </c>
      <c r="AO135" s="1471"/>
      <c r="AP135" s="1536"/>
      <c r="AQ135" s="1536"/>
      <c r="AR135" s="1536"/>
      <c r="AS135" s="1536"/>
      <c r="AT135" s="1471"/>
      <c r="AU135" s="1471"/>
      <c r="AV135" s="1471"/>
      <c r="AW135" s="1471"/>
      <c r="AX135" s="1471"/>
      <c r="AY135" s="1471"/>
      <c r="AZ135" s="2111"/>
      <c r="BA135" s="2111"/>
      <c r="BB135" s="2111"/>
      <c r="BC135" s="2082"/>
      <c r="BD135" s="2082"/>
      <c r="BE135" s="2082"/>
      <c r="BF135" s="2082"/>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2"/>
      <c r="AI136" s="34"/>
      <c r="AJ136" s="2123"/>
      <c r="AK136" s="2123"/>
      <c r="AL136" s="2123"/>
      <c r="AM136" s="2123"/>
      <c r="AN136" s="2112"/>
      <c r="AO136" s="1471"/>
      <c r="AP136" s="1536"/>
      <c r="AQ136" s="1536"/>
      <c r="AR136" s="1536"/>
      <c r="AS136" s="1536"/>
      <c r="AT136" s="1471"/>
      <c r="AU136" s="1471"/>
      <c r="AV136" s="1471"/>
      <c r="AW136" s="1471"/>
      <c r="AX136" s="1471"/>
      <c r="AY136" s="1471"/>
      <c r="AZ136" s="2111"/>
      <c r="BA136" s="2111"/>
      <c r="BB136" s="2111"/>
      <c r="BC136" s="2082"/>
      <c r="BD136" s="2082"/>
      <c r="BE136" s="2082"/>
      <c r="BF136" s="2082"/>
      <c r="BG136" s="34"/>
      <c r="BH136" s="34"/>
      <c r="BI136" s="34"/>
      <c r="BJ136" s="34"/>
      <c r="BK136" s="34"/>
      <c r="BL136" s="34"/>
      <c r="BM136" s="34"/>
      <c r="BN136" s="34"/>
      <c r="BO136" s="34"/>
      <c r="BP136" s="34"/>
      <c r="BQ136" s="34"/>
      <c r="BR136" s="34"/>
    </row>
    <row r="137" ht="12.75" customHeight="1">
      <c r="A137" s="400"/>
      <c r="B137" s="392"/>
      <c r="C137" s="2124" t="s">
        <v>799</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2"/>
      <c r="AO137" s="1471"/>
      <c r="AP137" s="1532" t="s">
        <v>173</v>
      </c>
      <c r="AQ137" s="1856"/>
      <c r="AR137" s="1856"/>
      <c r="AS137" s="1857"/>
      <c r="AT137" s="1471"/>
      <c r="AU137" s="1471"/>
      <c r="AV137" s="1471"/>
      <c r="AW137" s="1471"/>
      <c r="AX137" s="1471"/>
      <c r="AY137" s="1471"/>
      <c r="AZ137" s="2111"/>
      <c r="BA137" s="2111"/>
      <c r="BB137" s="2111"/>
      <c r="BC137" s="2082"/>
      <c r="BD137" s="2082"/>
      <c r="BE137" s="2082"/>
      <c r="BF137" s="2082"/>
      <c r="BG137" s="34"/>
      <c r="BH137" s="34"/>
      <c r="BI137" s="34"/>
      <c r="BJ137" s="34"/>
      <c r="BK137" s="34"/>
      <c r="BL137" s="34"/>
      <c r="BM137" s="34"/>
      <c r="BN137" s="34"/>
      <c r="BO137" s="34"/>
      <c r="BP137" s="34"/>
      <c r="BQ137" s="34"/>
      <c r="BR137" s="34"/>
    </row>
    <row r="138" ht="11.25" customHeight="1">
      <c r="A138" s="1500" t="s">
        <v>196</v>
      </c>
      <c r="B138" s="255"/>
      <c r="C138" s="255"/>
      <c r="D138" s="255"/>
      <c r="E138" s="255"/>
      <c r="F138" s="255"/>
      <c r="G138" s="255"/>
      <c r="H138" s="255"/>
      <c r="I138" s="253"/>
      <c r="J138" s="320" t="s">
        <v>197</v>
      </c>
      <c r="K138" s="255"/>
      <c r="L138" s="253"/>
      <c r="M138" s="320" t="s">
        <v>198</v>
      </c>
      <c r="N138" s="255"/>
      <c r="O138" s="253"/>
      <c r="P138" s="1500" t="s">
        <v>161</v>
      </c>
      <c r="Q138" s="255"/>
      <c r="R138" s="255"/>
      <c r="S138" s="253"/>
      <c r="T138" s="1500" t="s">
        <v>176</v>
      </c>
      <c r="U138" s="255"/>
      <c r="V138" s="255"/>
      <c r="W138" s="255"/>
      <c r="X138" s="255"/>
      <c r="Y138" s="255"/>
      <c r="Z138" s="255"/>
      <c r="AA138" s="255"/>
      <c r="AB138" s="253"/>
      <c r="AC138" s="1494" t="s">
        <v>177</v>
      </c>
      <c r="AD138" s="255"/>
      <c r="AE138" s="255"/>
      <c r="AF138" s="253"/>
      <c r="AG138" s="1494" t="s">
        <v>160</v>
      </c>
      <c r="AH138" s="255"/>
      <c r="AI138" s="253"/>
      <c r="AJ138" s="1494" t="s">
        <v>161</v>
      </c>
      <c r="AK138" s="255"/>
      <c r="AL138" s="255"/>
      <c r="AM138" s="253"/>
      <c r="AN138" s="2076"/>
      <c r="AO138" s="1957"/>
      <c r="AP138" s="1583"/>
      <c r="AS138" s="1858"/>
      <c r="AT138" s="1957"/>
      <c r="AU138" s="1957"/>
      <c r="AV138" s="1957"/>
      <c r="AW138" s="1957"/>
      <c r="AX138" s="1957"/>
      <c r="AY138" s="1957"/>
      <c r="AZ138" s="2111"/>
      <c r="BA138" s="2111"/>
      <c r="BB138" s="2111"/>
      <c r="BC138" s="2082"/>
      <c r="BD138" s="2082"/>
      <c r="BE138" s="2082"/>
      <c r="BF138" s="2082"/>
      <c r="BG138" s="34"/>
      <c r="BH138" s="34"/>
      <c r="BI138" s="34"/>
      <c r="BJ138" s="34"/>
    </row>
    <row r="139">
      <c r="A139" s="260"/>
      <c r="B139" s="251"/>
      <c r="C139" s="251"/>
      <c r="D139" s="251"/>
      <c r="E139" s="251"/>
      <c r="F139" s="251"/>
      <c r="G139" s="251"/>
      <c r="H139" s="251"/>
      <c r="I139" s="261"/>
      <c r="J139" s="260"/>
      <c r="K139" s="251"/>
      <c r="L139" s="261"/>
      <c r="M139" s="260"/>
      <c r="N139" s="251"/>
      <c r="O139" s="261"/>
      <c r="P139" s="1519" t="s">
        <v>199</v>
      </c>
      <c r="Q139" s="251"/>
      <c r="R139" s="251"/>
      <c r="S139" s="261"/>
      <c r="T139" s="1542" t="s">
        <v>135</v>
      </c>
      <c r="U139" s="85"/>
      <c r="V139" s="85"/>
      <c r="W139" s="85"/>
      <c r="X139" s="86"/>
      <c r="Y139" s="1589" t="s">
        <v>129</v>
      </c>
      <c r="Z139" s="85"/>
      <c r="AA139" s="85"/>
      <c r="AB139" s="86"/>
      <c r="AC139" s="1499" t="s">
        <v>183</v>
      </c>
      <c r="AD139" s="251"/>
      <c r="AE139" s="251"/>
      <c r="AF139" s="261"/>
      <c r="AG139" s="1499"/>
      <c r="AH139" s="251"/>
      <c r="AI139" s="261"/>
      <c r="AJ139" s="1499" t="s">
        <v>169</v>
      </c>
      <c r="AK139" s="251"/>
      <c r="AL139" s="251"/>
      <c r="AM139" s="261"/>
      <c r="AN139" s="2076"/>
      <c r="AO139" s="1957"/>
      <c r="AP139" s="1586"/>
      <c r="AQ139" s="1859"/>
      <c r="AR139" s="1859"/>
      <c r="AS139" s="1860"/>
      <c r="AT139" s="1957"/>
      <c r="AU139" s="1957"/>
      <c r="AV139" s="1957"/>
      <c r="AW139" s="1957"/>
      <c r="AX139" s="1957"/>
      <c r="AY139" s="1957"/>
      <c r="AZ139" s="2111"/>
      <c r="BA139" s="2111"/>
      <c r="BB139" s="2111"/>
      <c r="BC139" s="2082"/>
      <c r="BD139" s="2082"/>
      <c r="BE139" s="2082"/>
      <c r="BF139" s="2082"/>
      <c r="BG139" s="34"/>
      <c r="BH139" s="34"/>
      <c r="BI139" s="34"/>
      <c r="BJ139" s="34"/>
    </row>
    <row r="140" ht="16.5" customHeight="1">
      <c r="A140" s="1511" t="s">
        <v>185</v>
      </c>
      <c r="C140" s="1166" t="s">
        <v>800</v>
      </c>
      <c r="I140" s="263"/>
      <c r="J140" s="1167">
        <f>4.05+7.36</f>
        <v>11.41</v>
      </c>
      <c r="L140" s="263"/>
      <c r="M140" s="2125" t="s">
        <v>801</v>
      </c>
      <c r="N140" s="255"/>
      <c r="O140" s="253"/>
      <c r="P140" s="1169">
        <v>850.0</v>
      </c>
      <c r="S140" s="263"/>
      <c r="T140" s="345">
        <v>0.91</v>
      </c>
      <c r="X140" s="263"/>
      <c r="Y140" s="346">
        <f t="shared" ref="Y140:Y141" si="24">+AS140</f>
        <v>0.96</v>
      </c>
      <c r="AB140" s="263"/>
      <c r="AC140" s="1170">
        <f t="shared" ref="AC140:AC155" si="25">P140*T140*Y140</f>
        <v>742.56</v>
      </c>
      <c r="AF140" s="263"/>
      <c r="AG140" s="1171">
        <v>1.0</v>
      </c>
      <c r="AI140" s="263"/>
      <c r="AJ140" s="1170">
        <f t="shared" ref="AJ140:AJ156" si="26">J140*AC140*AG140</f>
        <v>8472.6096</v>
      </c>
      <c r="AM140" s="263"/>
      <c r="AN140" s="2076"/>
      <c r="AO140" s="1957"/>
      <c r="AP140" s="2309">
        <v>60.0</v>
      </c>
      <c r="AQ140" s="2308">
        <v>3.0</v>
      </c>
      <c r="AR140" s="2096">
        <f t="shared" ref="AR140:AR143" si="27">AP140-AQ140</f>
        <v>57</v>
      </c>
      <c r="AS140" s="2126">
        <f t="shared" ref="AS140:AS156" si="28">ROUND(((0.1*AP140)+(0.9*AR140))/AP140,2)</f>
        <v>0.96</v>
      </c>
      <c r="AT140" s="1957"/>
      <c r="AU140" s="1957"/>
      <c r="AV140" s="1957"/>
      <c r="AW140" s="1957"/>
      <c r="AX140" s="1957"/>
      <c r="AY140" s="1957"/>
      <c r="AZ140" s="2111"/>
      <c r="BA140" s="2111"/>
      <c r="BB140" s="2111"/>
      <c r="BC140" s="2082"/>
      <c r="BD140" s="2082"/>
      <c r="BE140" s="2082"/>
      <c r="BF140" s="2082"/>
      <c r="BG140" s="34"/>
      <c r="BH140" s="34"/>
      <c r="BI140" s="34"/>
      <c r="BJ140" s="34"/>
    </row>
    <row r="141" ht="16.5" customHeight="1">
      <c r="A141" s="1511" t="s">
        <v>186</v>
      </c>
      <c r="C141" s="1598"/>
      <c r="D141" s="251"/>
      <c r="E141" s="251"/>
      <c r="F141" s="251"/>
      <c r="G141" s="251"/>
      <c r="H141" s="251"/>
      <c r="I141" s="261"/>
      <c r="J141" s="1167"/>
      <c r="L141" s="263"/>
      <c r="M141" s="1175"/>
      <c r="O141" s="263"/>
      <c r="P141" s="1170"/>
      <c r="S141" s="263"/>
      <c r="T141" s="346">
        <v>0.91</v>
      </c>
      <c r="X141" s="263"/>
      <c r="Y141" s="346">
        <f t="shared" si="24"/>
        <v>0.9</v>
      </c>
      <c r="AB141" s="263"/>
      <c r="AC141" s="1170">
        <f t="shared" si="25"/>
        <v>0</v>
      </c>
      <c r="AF141" s="263"/>
      <c r="AG141" s="1171">
        <v>1.0</v>
      </c>
      <c r="AI141" s="263"/>
      <c r="AJ141" s="1170">
        <f t="shared" si="26"/>
        <v>0</v>
      </c>
      <c r="AM141" s="263"/>
      <c r="AN141" s="2076"/>
      <c r="AO141" s="1957"/>
      <c r="AP141" s="2094">
        <v>45.0</v>
      </c>
      <c r="AQ141" s="2095">
        <v>5.0</v>
      </c>
      <c r="AR141" s="2096">
        <f t="shared" si="27"/>
        <v>40</v>
      </c>
      <c r="AS141" s="2097">
        <f t="shared" si="28"/>
        <v>0.9</v>
      </c>
      <c r="AT141" s="1957"/>
      <c r="AU141" s="1957"/>
      <c r="AV141" s="1957"/>
      <c r="AW141" s="1957"/>
      <c r="AX141" s="1957"/>
      <c r="AY141" s="1957"/>
      <c r="AZ141" s="2111"/>
      <c r="BA141" s="2111"/>
      <c r="BB141" s="2111"/>
      <c r="BC141" s="2082"/>
      <c r="BD141" s="2082"/>
      <c r="BE141" s="2082"/>
      <c r="BF141" s="2082"/>
      <c r="BG141" s="34"/>
      <c r="BH141" s="34"/>
      <c r="BI141" s="34"/>
      <c r="BJ141" s="34"/>
    </row>
    <row r="142" ht="13.5" hidden="1" customHeight="1">
      <c r="A142" s="1511" t="s">
        <v>187</v>
      </c>
      <c r="C142" s="1173"/>
      <c r="I142" s="263"/>
      <c r="J142" s="1174"/>
      <c r="L142" s="263"/>
      <c r="M142" s="1175"/>
      <c r="O142" s="263"/>
      <c r="P142" s="1170"/>
      <c r="S142" s="263"/>
      <c r="T142" s="346"/>
      <c r="X142" s="263"/>
      <c r="Y142" s="346"/>
      <c r="AB142" s="263"/>
      <c r="AC142" s="1170">
        <f t="shared" si="25"/>
        <v>0</v>
      </c>
      <c r="AF142" s="263"/>
      <c r="AG142" s="1171">
        <v>1.0</v>
      </c>
      <c r="AI142" s="263"/>
      <c r="AJ142" s="1170">
        <f t="shared" si="26"/>
        <v>0</v>
      </c>
      <c r="AM142" s="263"/>
      <c r="AN142" s="2076"/>
      <c r="AO142" s="1957"/>
      <c r="AP142" s="2099">
        <v>45.0</v>
      </c>
      <c r="AQ142" s="2127">
        <v>4.0</v>
      </c>
      <c r="AR142" s="2101">
        <f t="shared" si="27"/>
        <v>41</v>
      </c>
      <c r="AS142" s="2102">
        <f t="shared" si="28"/>
        <v>0.92</v>
      </c>
      <c r="AT142" s="1957"/>
      <c r="AU142" s="1957"/>
      <c r="AV142" s="1957"/>
      <c r="AW142" s="1957"/>
      <c r="AX142" s="1957"/>
      <c r="AY142" s="1957"/>
      <c r="AZ142" s="2111"/>
      <c r="BA142" s="2111"/>
      <c r="BB142" s="2111"/>
      <c r="BC142" s="2082"/>
      <c r="BD142" s="2082"/>
      <c r="BE142" s="2082"/>
      <c r="BF142" s="2082"/>
      <c r="BG142" s="34"/>
      <c r="BH142" s="34"/>
      <c r="BI142" s="34"/>
      <c r="BJ142" s="34"/>
    </row>
    <row r="143" ht="14.25" hidden="1" customHeight="1">
      <c r="A143" s="1511" t="s">
        <v>188</v>
      </c>
      <c r="C143" s="1173"/>
      <c r="I143" s="263"/>
      <c r="J143" s="1174"/>
      <c r="L143" s="263"/>
      <c r="M143" s="1175"/>
      <c r="O143" s="263"/>
      <c r="P143" s="1170"/>
      <c r="S143" s="263"/>
      <c r="T143" s="346"/>
      <c r="X143" s="263"/>
      <c r="Y143" s="346"/>
      <c r="AB143" s="263"/>
      <c r="AC143" s="1170">
        <f t="shared" si="25"/>
        <v>0</v>
      </c>
      <c r="AF143" s="263"/>
      <c r="AG143" s="1171">
        <v>1.0</v>
      </c>
      <c r="AI143" s="263"/>
      <c r="AJ143" s="1170">
        <f t="shared" si="26"/>
        <v>0</v>
      </c>
      <c r="AM143" s="263"/>
      <c r="AN143" s="2114"/>
      <c r="AO143" s="1471"/>
      <c r="AP143" s="2099">
        <v>70.0</v>
      </c>
      <c r="AQ143" s="2100">
        <v>0.0</v>
      </c>
      <c r="AR143" s="2101">
        <f t="shared" si="27"/>
        <v>70</v>
      </c>
      <c r="AS143" s="2102">
        <f t="shared" si="28"/>
        <v>1</v>
      </c>
      <c r="AT143" s="1471"/>
      <c r="AU143" s="1471"/>
      <c r="AV143" s="1471"/>
      <c r="AW143" s="1471"/>
      <c r="AX143" s="1471"/>
      <c r="AY143" s="1471"/>
      <c r="AZ143" s="2111"/>
      <c r="BA143" s="2111"/>
      <c r="BB143" s="2111"/>
      <c r="BC143" s="2082"/>
      <c r="BD143" s="2082"/>
      <c r="BE143" s="2082"/>
      <c r="BF143" s="2082"/>
      <c r="BG143" s="34"/>
      <c r="BH143" s="34"/>
      <c r="BI143" s="34"/>
      <c r="BJ143" s="34"/>
      <c r="BK143" s="34"/>
      <c r="BL143" s="34"/>
      <c r="BM143" s="34"/>
      <c r="BN143" s="34"/>
      <c r="BO143" s="34"/>
      <c r="BP143" s="34"/>
      <c r="BQ143" s="34"/>
      <c r="BR143" s="34"/>
    </row>
    <row r="144" ht="12.75" hidden="1" customHeight="1">
      <c r="A144" s="1511" t="s">
        <v>189</v>
      </c>
      <c r="C144" s="1598"/>
      <c r="D144" s="251"/>
      <c r="E144" s="251"/>
      <c r="F144" s="251"/>
      <c r="G144" s="251"/>
      <c r="H144" s="251"/>
      <c r="I144" s="261"/>
      <c r="J144" s="1174"/>
      <c r="L144" s="263"/>
      <c r="M144" s="1175"/>
      <c r="O144" s="263"/>
      <c r="P144" s="1170"/>
      <c r="S144" s="263"/>
      <c r="T144" s="346"/>
      <c r="X144" s="263"/>
      <c r="Y144" s="346"/>
      <c r="AB144" s="263"/>
      <c r="AC144" s="1170">
        <f t="shared" si="25"/>
        <v>0</v>
      </c>
      <c r="AF144" s="263"/>
      <c r="AG144" s="1171">
        <v>1.0</v>
      </c>
      <c r="AI144" s="263"/>
      <c r="AJ144" s="1170">
        <f t="shared" si="26"/>
        <v>0</v>
      </c>
      <c r="AM144" s="263"/>
      <c r="AN144" s="2076"/>
      <c r="AO144" s="1957"/>
      <c r="AP144" s="2099">
        <v>70.0</v>
      </c>
      <c r="AQ144" s="2100">
        <v>16.0</v>
      </c>
      <c r="AR144" s="2128">
        <v>0.0</v>
      </c>
      <c r="AS144" s="2102">
        <f t="shared" si="28"/>
        <v>0.1</v>
      </c>
      <c r="AT144" s="1957"/>
      <c r="AU144" s="1957"/>
      <c r="AV144" s="1957"/>
      <c r="AW144" s="1957"/>
      <c r="AX144" s="1957"/>
      <c r="AY144" s="1957"/>
      <c r="AZ144" s="2111"/>
      <c r="BA144" s="2111"/>
      <c r="BB144" s="2111"/>
      <c r="BC144" s="2082"/>
      <c r="BD144" s="2082"/>
      <c r="BE144" s="2082"/>
      <c r="BF144" s="2082"/>
      <c r="BG144" s="34"/>
      <c r="BH144" s="34"/>
      <c r="BI144" s="34"/>
      <c r="BJ144" s="34"/>
    </row>
    <row r="145" ht="12.75" hidden="1" customHeight="1">
      <c r="A145" s="1184"/>
      <c r="B145" s="440"/>
      <c r="C145" s="1173"/>
      <c r="I145" s="263"/>
      <c r="J145" s="1174"/>
      <c r="L145" s="263"/>
      <c r="M145" s="1610"/>
      <c r="O145" s="263"/>
      <c r="P145" s="1170"/>
      <c r="S145" s="263"/>
      <c r="T145" s="346">
        <v>1.0</v>
      </c>
      <c r="X145" s="263"/>
      <c r="Y145" s="346">
        <f t="shared" ref="Y145:Y155" si="29">+AS145</f>
        <v>0.78</v>
      </c>
      <c r="AB145" s="263"/>
      <c r="AC145" s="1170">
        <f t="shared" si="25"/>
        <v>0</v>
      </c>
      <c r="AF145" s="263"/>
      <c r="AG145" s="1171">
        <v>1.0</v>
      </c>
      <c r="AI145" s="263"/>
      <c r="AJ145" s="1170">
        <f t="shared" si="26"/>
        <v>0</v>
      </c>
      <c r="AM145" s="263"/>
      <c r="AN145" s="2076"/>
      <c r="AO145" s="1957"/>
      <c r="AP145" s="2104">
        <v>60.0</v>
      </c>
      <c r="AQ145" s="2129">
        <v>15.0</v>
      </c>
      <c r="AR145" s="2130">
        <f t="shared" ref="AR145:AR156" si="30">AP145-AQ145</f>
        <v>45</v>
      </c>
      <c r="AS145" s="2097">
        <f t="shared" si="28"/>
        <v>0.78</v>
      </c>
      <c r="AT145" s="1957"/>
      <c r="AU145" s="1957"/>
      <c r="AV145" s="1957"/>
      <c r="AW145" s="1957"/>
      <c r="AX145" s="1957"/>
      <c r="AY145" s="1957"/>
      <c r="AZ145" s="2111"/>
      <c r="BA145" s="2111"/>
      <c r="BB145" s="2111"/>
      <c r="BC145" s="2082"/>
      <c r="BD145" s="2082"/>
      <c r="BE145" s="2082"/>
      <c r="BF145" s="2082"/>
      <c r="BG145" s="34"/>
      <c r="BH145" s="34"/>
      <c r="BI145" s="34"/>
      <c r="BJ145" s="34"/>
    </row>
    <row r="146" ht="12.75" hidden="1" customHeight="1">
      <c r="A146" s="1614"/>
      <c r="B146" s="1351"/>
      <c r="C146" s="1173"/>
      <c r="I146" s="263"/>
      <c r="J146" s="1174"/>
      <c r="L146" s="263"/>
      <c r="M146" s="1610"/>
      <c r="O146" s="263"/>
      <c r="P146" s="1170"/>
      <c r="S146" s="263"/>
      <c r="T146" s="346">
        <v>1.0</v>
      </c>
      <c r="X146" s="263"/>
      <c r="Y146" s="346">
        <f t="shared" si="29"/>
        <v>0.72</v>
      </c>
      <c r="AB146" s="263"/>
      <c r="AC146" s="1170">
        <f t="shared" si="25"/>
        <v>0</v>
      </c>
      <c r="AF146" s="263"/>
      <c r="AG146" s="1171">
        <v>1.0</v>
      </c>
      <c r="AI146" s="263"/>
      <c r="AJ146" s="1170">
        <f t="shared" si="26"/>
        <v>0</v>
      </c>
      <c r="AM146" s="263"/>
      <c r="AN146" s="2076"/>
      <c r="AO146" s="1957"/>
      <c r="AP146" s="2104">
        <v>45.0</v>
      </c>
      <c r="AQ146" s="2129">
        <v>14.0</v>
      </c>
      <c r="AR146" s="2130">
        <f t="shared" si="30"/>
        <v>31</v>
      </c>
      <c r="AS146" s="2097">
        <f t="shared" si="28"/>
        <v>0.72</v>
      </c>
      <c r="AT146" s="1957"/>
      <c r="AU146" s="1957"/>
      <c r="AV146" s="1957"/>
      <c r="AW146" s="1957"/>
      <c r="AX146" s="1957"/>
      <c r="AY146" s="1957"/>
      <c r="AZ146" s="2111"/>
      <c r="BA146" s="2111"/>
      <c r="BB146" s="2111"/>
      <c r="BC146" s="2082"/>
      <c r="BD146" s="2082"/>
      <c r="BE146" s="2082"/>
      <c r="BF146" s="2082"/>
      <c r="BG146" s="34"/>
      <c r="BH146" s="34"/>
      <c r="BI146" s="34"/>
      <c r="BJ146" s="34"/>
    </row>
    <row r="147" ht="12.75" hidden="1" customHeight="1">
      <c r="A147" s="1614"/>
      <c r="B147" s="1351"/>
      <c r="C147" s="1184"/>
      <c r="D147" s="1351"/>
      <c r="E147" s="1351"/>
      <c r="F147" s="1351"/>
      <c r="G147" s="1351"/>
      <c r="H147" s="1351"/>
      <c r="I147" s="1615"/>
      <c r="J147" s="1174"/>
      <c r="L147" s="263"/>
      <c r="M147" s="1610"/>
      <c r="O147" s="263"/>
      <c r="P147" s="1182"/>
      <c r="S147" s="263"/>
      <c r="T147" s="346">
        <v>1.0</v>
      </c>
      <c r="X147" s="263"/>
      <c r="Y147" s="346">
        <f t="shared" si="29"/>
        <v>0.96</v>
      </c>
      <c r="AB147" s="263"/>
      <c r="AC147" s="1170">
        <f t="shared" si="25"/>
        <v>0</v>
      </c>
      <c r="AF147" s="263"/>
      <c r="AG147" s="1171">
        <v>1.0</v>
      </c>
      <c r="AI147" s="263"/>
      <c r="AJ147" s="1170">
        <f t="shared" si="26"/>
        <v>0</v>
      </c>
      <c r="AM147" s="263"/>
      <c r="AN147" s="2076"/>
      <c r="AO147" s="1957"/>
      <c r="AP147" s="2104">
        <v>45.0</v>
      </c>
      <c r="AQ147" s="2129">
        <v>2.0</v>
      </c>
      <c r="AR147" s="2130">
        <f t="shared" si="30"/>
        <v>43</v>
      </c>
      <c r="AS147" s="2097">
        <f t="shared" si="28"/>
        <v>0.96</v>
      </c>
      <c r="AT147" s="1957"/>
      <c r="AU147" s="1957"/>
      <c r="AV147" s="1957"/>
      <c r="AW147" s="1957"/>
      <c r="AX147" s="1957"/>
      <c r="AY147" s="1957"/>
      <c r="AZ147" s="2111"/>
      <c r="BA147" s="2111"/>
      <c r="BB147" s="2111"/>
      <c r="BC147" s="2082"/>
      <c r="BD147" s="2082"/>
      <c r="BE147" s="2082"/>
      <c r="BF147" s="2082"/>
    </row>
    <row r="148" ht="12.75" hidden="1" customHeight="1">
      <c r="A148" s="1616"/>
      <c r="B148" s="1185"/>
      <c r="C148" s="1184"/>
      <c r="D148" s="1185"/>
      <c r="E148" s="1185"/>
      <c r="F148" s="1185"/>
      <c r="G148" s="1185"/>
      <c r="H148" s="1185"/>
      <c r="I148" s="1186"/>
      <c r="J148" s="1174"/>
      <c r="L148" s="263"/>
      <c r="M148" s="1610"/>
      <c r="O148" s="263"/>
      <c r="P148" s="1170"/>
      <c r="S148" s="263"/>
      <c r="T148" s="346">
        <v>1.0</v>
      </c>
      <c r="X148" s="263"/>
      <c r="Y148" s="346">
        <f t="shared" si="29"/>
        <v>0.8</v>
      </c>
      <c r="AB148" s="263"/>
      <c r="AC148" s="1170">
        <f t="shared" si="25"/>
        <v>0</v>
      </c>
      <c r="AF148" s="263"/>
      <c r="AG148" s="1171">
        <v>1.0</v>
      </c>
      <c r="AI148" s="263"/>
      <c r="AJ148" s="1170">
        <f t="shared" si="26"/>
        <v>0</v>
      </c>
      <c r="AM148" s="263"/>
      <c r="AN148" s="2076"/>
      <c r="AO148" s="1957"/>
      <c r="AP148" s="2104">
        <v>45.0</v>
      </c>
      <c r="AQ148" s="2129">
        <v>10.0</v>
      </c>
      <c r="AR148" s="2130">
        <f t="shared" si="30"/>
        <v>35</v>
      </c>
      <c r="AS148" s="2097">
        <f t="shared" si="28"/>
        <v>0.8</v>
      </c>
      <c r="AT148" s="1957"/>
      <c r="AU148" s="1957"/>
      <c r="AV148" s="1957"/>
      <c r="AW148" s="1957"/>
      <c r="AX148" s="1957"/>
      <c r="AY148" s="1957"/>
      <c r="AZ148" s="2111"/>
      <c r="BA148" s="2111"/>
      <c r="BB148" s="2111"/>
      <c r="BC148" s="2082"/>
      <c r="BD148" s="2082"/>
      <c r="BE148" s="2082"/>
      <c r="BF148" s="2082"/>
    </row>
    <row r="149" ht="12.75" hidden="1" customHeight="1">
      <c r="A149" s="1616"/>
      <c r="B149" s="1185"/>
      <c r="C149" s="1184"/>
      <c r="D149" s="1185"/>
      <c r="E149" s="1185"/>
      <c r="F149" s="1185"/>
      <c r="G149" s="1185"/>
      <c r="H149" s="1185"/>
      <c r="I149" s="1186"/>
      <c r="J149" s="1174"/>
      <c r="L149" s="263"/>
      <c r="M149" s="1610"/>
      <c r="O149" s="263"/>
      <c r="P149" s="1182"/>
      <c r="S149" s="263"/>
      <c r="T149" s="346">
        <v>1.0</v>
      </c>
      <c r="X149" s="263"/>
      <c r="Y149" s="346">
        <f t="shared" si="29"/>
        <v>0.8</v>
      </c>
      <c r="AB149" s="263"/>
      <c r="AC149" s="1170">
        <f t="shared" si="25"/>
        <v>0</v>
      </c>
      <c r="AF149" s="263"/>
      <c r="AG149" s="1171">
        <v>1.0</v>
      </c>
      <c r="AI149" s="263"/>
      <c r="AJ149" s="1170">
        <f t="shared" si="26"/>
        <v>0</v>
      </c>
      <c r="AM149" s="263"/>
      <c r="AN149" s="2076"/>
      <c r="AO149" s="1957"/>
      <c r="AP149" s="2104">
        <v>45.0</v>
      </c>
      <c r="AQ149" s="2129">
        <v>10.0</v>
      </c>
      <c r="AR149" s="2130">
        <f t="shared" si="30"/>
        <v>35</v>
      </c>
      <c r="AS149" s="2097">
        <f t="shared" si="28"/>
        <v>0.8</v>
      </c>
      <c r="AT149" s="1957"/>
      <c r="AU149" s="1957"/>
      <c r="AV149" s="1957"/>
      <c r="AW149" s="1957"/>
      <c r="AX149" s="1957"/>
      <c r="AY149" s="1957"/>
      <c r="AZ149" s="2111"/>
      <c r="BA149" s="2111"/>
      <c r="BB149" s="2111"/>
      <c r="BC149" s="2082"/>
      <c r="BD149" s="2082"/>
      <c r="BE149" s="2082"/>
      <c r="BF149" s="2082"/>
    </row>
    <row r="150" ht="12.75" hidden="1" customHeight="1">
      <c r="A150" s="1616"/>
      <c r="B150" s="1185"/>
      <c r="C150" s="1184"/>
      <c r="D150" s="1185"/>
      <c r="E150" s="1185"/>
      <c r="F150" s="1185"/>
      <c r="G150" s="1185"/>
      <c r="H150" s="1185"/>
      <c r="I150" s="1186"/>
      <c r="J150" s="1174"/>
      <c r="L150" s="263"/>
      <c r="M150" s="1610"/>
      <c r="O150" s="263"/>
      <c r="P150" s="1182"/>
      <c r="S150" s="263"/>
      <c r="T150" s="346">
        <v>1.0</v>
      </c>
      <c r="X150" s="263"/>
      <c r="Y150" s="346">
        <f t="shared" si="29"/>
        <v>0.96</v>
      </c>
      <c r="AB150" s="263"/>
      <c r="AC150" s="1170">
        <f t="shared" si="25"/>
        <v>0</v>
      </c>
      <c r="AF150" s="263"/>
      <c r="AG150" s="1171">
        <v>1.0</v>
      </c>
      <c r="AI150" s="263"/>
      <c r="AJ150" s="1170">
        <f t="shared" si="26"/>
        <v>0</v>
      </c>
      <c r="AM150" s="263"/>
      <c r="AN150" s="2076"/>
      <c r="AO150" s="1957"/>
      <c r="AP150" s="2104">
        <v>45.0</v>
      </c>
      <c r="AQ150" s="2129">
        <v>2.0</v>
      </c>
      <c r="AR150" s="2130">
        <f t="shared" si="30"/>
        <v>43</v>
      </c>
      <c r="AS150" s="2097">
        <f t="shared" si="28"/>
        <v>0.96</v>
      </c>
      <c r="AT150" s="1957"/>
      <c r="AU150" s="1957"/>
      <c r="AV150" s="1957"/>
      <c r="AW150" s="1957"/>
      <c r="AX150" s="1957"/>
      <c r="AY150" s="1957"/>
      <c r="AZ150" s="2111"/>
      <c r="BA150" s="2111"/>
      <c r="BB150" s="2111"/>
      <c r="BC150" s="2082"/>
      <c r="BD150" s="2082"/>
      <c r="BE150" s="2082"/>
      <c r="BF150" s="2082"/>
    </row>
    <row r="151" ht="12.75" hidden="1" customHeight="1">
      <c r="A151" s="1616"/>
      <c r="B151" s="1185"/>
      <c r="C151" s="1184"/>
      <c r="D151" s="1185"/>
      <c r="E151" s="1185"/>
      <c r="F151" s="1185"/>
      <c r="G151" s="1185"/>
      <c r="H151" s="1185"/>
      <c r="I151" s="1186"/>
      <c r="J151" s="1174"/>
      <c r="L151" s="263"/>
      <c r="M151" s="1610"/>
      <c r="O151" s="263"/>
      <c r="P151" s="1182"/>
      <c r="S151" s="263"/>
      <c r="T151" s="346">
        <v>1.0</v>
      </c>
      <c r="X151" s="263"/>
      <c r="Y151" s="346">
        <f t="shared" si="29"/>
        <v>0.7</v>
      </c>
      <c r="AB151" s="263"/>
      <c r="AC151" s="1170">
        <f t="shared" si="25"/>
        <v>0</v>
      </c>
      <c r="AF151" s="263"/>
      <c r="AG151" s="1171">
        <v>1.0</v>
      </c>
      <c r="AI151" s="263"/>
      <c r="AJ151" s="1170">
        <f t="shared" si="26"/>
        <v>0</v>
      </c>
      <c r="AM151" s="263"/>
      <c r="AN151" s="2076"/>
      <c r="AO151" s="1957"/>
      <c r="AP151" s="2104">
        <v>45.0</v>
      </c>
      <c r="AQ151" s="2129">
        <v>15.0</v>
      </c>
      <c r="AR151" s="2130">
        <f t="shared" si="30"/>
        <v>30</v>
      </c>
      <c r="AS151" s="2097">
        <f t="shared" si="28"/>
        <v>0.7</v>
      </c>
      <c r="AT151" s="1957"/>
      <c r="AU151" s="1957"/>
      <c r="AV151" s="1957"/>
      <c r="AW151" s="1957"/>
      <c r="AX151" s="1957"/>
      <c r="AY151" s="1957"/>
      <c r="AZ151" s="2111"/>
      <c r="BA151" s="2111"/>
      <c r="BB151" s="2111"/>
      <c r="BC151" s="2082"/>
      <c r="BD151" s="2082"/>
      <c r="BE151" s="2082"/>
      <c r="BF151" s="2082"/>
    </row>
    <row r="152" ht="12.75" hidden="1" customHeight="1">
      <c r="A152" s="1614"/>
      <c r="B152" s="1351"/>
      <c r="C152" s="1184"/>
      <c r="D152" s="1351"/>
      <c r="E152" s="1351"/>
      <c r="F152" s="1351"/>
      <c r="G152" s="1351"/>
      <c r="H152" s="1351"/>
      <c r="I152" s="1615"/>
      <c r="J152" s="1174"/>
      <c r="L152" s="263"/>
      <c r="M152" s="1610"/>
      <c r="O152" s="263"/>
      <c r="P152" s="1182"/>
      <c r="S152" s="263"/>
      <c r="T152" s="346">
        <v>1.0</v>
      </c>
      <c r="X152" s="263"/>
      <c r="Y152" s="346">
        <f t="shared" si="29"/>
        <v>0.88</v>
      </c>
      <c r="AB152" s="263"/>
      <c r="AC152" s="1170">
        <f t="shared" si="25"/>
        <v>0</v>
      </c>
      <c r="AF152" s="263"/>
      <c r="AG152" s="1171">
        <v>1.0</v>
      </c>
      <c r="AI152" s="263"/>
      <c r="AJ152" s="1170">
        <f t="shared" si="26"/>
        <v>0</v>
      </c>
      <c r="AM152" s="263"/>
      <c r="AN152" s="2076"/>
      <c r="AO152" s="1957"/>
      <c r="AP152" s="2104">
        <v>15.0</v>
      </c>
      <c r="AQ152" s="2129">
        <v>2.0</v>
      </c>
      <c r="AR152" s="2130">
        <f t="shared" si="30"/>
        <v>13</v>
      </c>
      <c r="AS152" s="2097">
        <f t="shared" si="28"/>
        <v>0.88</v>
      </c>
      <c r="AT152" s="1957"/>
      <c r="AU152" s="1957"/>
      <c r="AV152" s="1957"/>
      <c r="AW152" s="1957"/>
      <c r="AX152" s="1957"/>
      <c r="AY152" s="1957"/>
      <c r="AZ152" s="2111"/>
      <c r="BA152" s="2111"/>
      <c r="BB152" s="2111"/>
      <c r="BC152" s="2082"/>
      <c r="BD152" s="2082"/>
      <c r="BE152" s="2082"/>
      <c r="BF152" s="2082"/>
    </row>
    <row r="153" ht="12.75" hidden="1" customHeight="1">
      <c r="A153" s="1614"/>
      <c r="B153" s="1351"/>
      <c r="C153" s="1184"/>
      <c r="D153" s="1351"/>
      <c r="E153" s="1351"/>
      <c r="F153" s="1351"/>
      <c r="G153" s="1351"/>
      <c r="H153" s="1351"/>
      <c r="I153" s="1615"/>
      <c r="J153" s="1174"/>
      <c r="L153" s="263"/>
      <c r="M153" s="1610"/>
      <c r="O153" s="263"/>
      <c r="P153" s="1182"/>
      <c r="S153" s="263"/>
      <c r="T153" s="346">
        <v>1.0</v>
      </c>
      <c r="X153" s="263"/>
      <c r="Y153" s="346">
        <f t="shared" si="29"/>
        <v>0.88</v>
      </c>
      <c r="AB153" s="263"/>
      <c r="AC153" s="1170">
        <f t="shared" si="25"/>
        <v>0</v>
      </c>
      <c r="AF153" s="263"/>
      <c r="AG153" s="1171">
        <v>1.0</v>
      </c>
      <c r="AI153" s="263"/>
      <c r="AJ153" s="1170">
        <f t="shared" si="26"/>
        <v>0</v>
      </c>
      <c r="AM153" s="263"/>
      <c r="AN153" s="2076"/>
      <c r="AO153" s="1957"/>
      <c r="AP153" s="2104">
        <v>15.0</v>
      </c>
      <c r="AQ153" s="2129">
        <v>2.0</v>
      </c>
      <c r="AR153" s="2130">
        <f t="shared" si="30"/>
        <v>13</v>
      </c>
      <c r="AS153" s="2097">
        <f t="shared" si="28"/>
        <v>0.88</v>
      </c>
      <c r="AT153" s="1957"/>
      <c r="AU153" s="1957"/>
      <c r="AV153" s="1957"/>
      <c r="AW153" s="1957"/>
      <c r="AX153" s="1957"/>
      <c r="AY153" s="1957"/>
      <c r="AZ153" s="2111"/>
      <c r="BA153" s="2111"/>
      <c r="BB153" s="2111"/>
      <c r="BC153" s="2082"/>
      <c r="BD153" s="2082"/>
      <c r="BE153" s="2082"/>
      <c r="BF153" s="2082"/>
    </row>
    <row r="154" ht="12.75" hidden="1" customHeight="1">
      <c r="A154" s="1614"/>
      <c r="B154" s="1351"/>
      <c r="C154" s="1184"/>
      <c r="D154" s="1351"/>
      <c r="E154" s="1351"/>
      <c r="F154" s="1351"/>
      <c r="G154" s="1351"/>
      <c r="H154" s="1351"/>
      <c r="I154" s="1615"/>
      <c r="J154" s="1174"/>
      <c r="L154" s="263"/>
      <c r="M154" s="1610"/>
      <c r="O154" s="263"/>
      <c r="P154" s="1182"/>
      <c r="S154" s="263"/>
      <c r="T154" s="346">
        <v>1.0</v>
      </c>
      <c r="X154" s="263"/>
      <c r="Y154" s="346">
        <f t="shared" si="29"/>
        <v>0.88</v>
      </c>
      <c r="AB154" s="263"/>
      <c r="AC154" s="1170">
        <f t="shared" si="25"/>
        <v>0</v>
      </c>
      <c r="AF154" s="263"/>
      <c r="AG154" s="1171">
        <v>1.0</v>
      </c>
      <c r="AI154" s="263"/>
      <c r="AJ154" s="1170">
        <f t="shared" si="26"/>
        <v>0</v>
      </c>
      <c r="AM154" s="263"/>
      <c r="AN154" s="2076"/>
      <c r="AO154" s="1957"/>
      <c r="AP154" s="2104">
        <v>15.0</v>
      </c>
      <c r="AQ154" s="2129">
        <v>2.0</v>
      </c>
      <c r="AR154" s="2130">
        <f t="shared" si="30"/>
        <v>13</v>
      </c>
      <c r="AS154" s="2097">
        <f t="shared" si="28"/>
        <v>0.88</v>
      </c>
      <c r="AT154" s="1957"/>
      <c r="AU154" s="1957"/>
      <c r="AV154" s="1957"/>
      <c r="AW154" s="1957"/>
      <c r="AX154" s="1957"/>
      <c r="AY154" s="1957"/>
      <c r="AZ154" s="2111"/>
      <c r="BA154" s="2111"/>
      <c r="BB154" s="2111"/>
      <c r="BC154" s="2082"/>
      <c r="BD154" s="2082"/>
      <c r="BE154" s="2082"/>
      <c r="BF154" s="2082"/>
    </row>
    <row r="155" ht="12.75" hidden="1" customHeight="1">
      <c r="A155" s="1614"/>
      <c r="B155" s="1351"/>
      <c r="C155" s="1184"/>
      <c r="D155" s="1351"/>
      <c r="E155" s="1351"/>
      <c r="F155" s="1351"/>
      <c r="G155" s="1351"/>
      <c r="H155" s="1351"/>
      <c r="I155" s="1615"/>
      <c r="J155" s="1174"/>
      <c r="L155" s="263"/>
      <c r="M155" s="1610"/>
      <c r="O155" s="263"/>
      <c r="P155" s="1182"/>
      <c r="S155" s="263"/>
      <c r="T155" s="346">
        <v>1.0</v>
      </c>
      <c r="X155" s="263"/>
      <c r="Y155" s="346">
        <f t="shared" si="29"/>
        <v>0.64</v>
      </c>
      <c r="AB155" s="263"/>
      <c r="AC155" s="1170">
        <f t="shared" si="25"/>
        <v>0</v>
      </c>
      <c r="AF155" s="263"/>
      <c r="AG155" s="1171">
        <v>1.0</v>
      </c>
      <c r="AI155" s="263"/>
      <c r="AJ155" s="1170">
        <f t="shared" si="26"/>
        <v>0</v>
      </c>
      <c r="AM155" s="263"/>
      <c r="AN155" s="2076"/>
      <c r="AO155" s="1957"/>
      <c r="AP155" s="2104">
        <v>10.0</v>
      </c>
      <c r="AQ155" s="2129">
        <v>4.0</v>
      </c>
      <c r="AR155" s="2130">
        <f t="shared" si="30"/>
        <v>6</v>
      </c>
      <c r="AS155" s="2097">
        <f t="shared" si="28"/>
        <v>0.64</v>
      </c>
      <c r="AT155" s="1957"/>
      <c r="AU155" s="1957"/>
      <c r="AV155" s="1957"/>
      <c r="AW155" s="1957"/>
      <c r="AX155" s="1957"/>
      <c r="AY155" s="1957"/>
      <c r="AZ155" s="2111"/>
      <c r="BA155" s="2111"/>
      <c r="BB155" s="2111"/>
      <c r="BC155" s="2082"/>
      <c r="BD155" s="2082"/>
      <c r="BE155" s="2082"/>
      <c r="BF155" s="2082"/>
    </row>
    <row r="156" ht="12.75" hidden="1" customHeight="1">
      <c r="A156" s="1617"/>
      <c r="B156" s="1618"/>
      <c r="C156" s="1188"/>
      <c r="D156" s="1618"/>
      <c r="E156" s="1618"/>
      <c r="F156" s="1618"/>
      <c r="G156" s="1618"/>
      <c r="H156" s="1618"/>
      <c r="I156" s="1619"/>
      <c r="J156" s="1525"/>
      <c r="K156" s="251"/>
      <c r="L156" s="261"/>
      <c r="M156" s="1523"/>
      <c r="N156" s="251"/>
      <c r="O156" s="261"/>
      <c r="P156" s="1620"/>
      <c r="Q156" s="251"/>
      <c r="R156" s="251"/>
      <c r="S156" s="261"/>
      <c r="T156" s="1621">
        <v>1.0</v>
      </c>
      <c r="U156" s="251"/>
      <c r="V156" s="251"/>
      <c r="W156" s="251"/>
      <c r="X156" s="261"/>
      <c r="Y156" s="1621"/>
      <c r="Z156" s="251"/>
      <c r="AA156" s="251"/>
      <c r="AB156" s="261"/>
      <c r="AC156" s="1170"/>
      <c r="AF156" s="263"/>
      <c r="AG156" s="1171"/>
      <c r="AI156" s="263"/>
      <c r="AJ156" s="1170">
        <f t="shared" si="26"/>
        <v>0</v>
      </c>
      <c r="AM156" s="263"/>
      <c r="AN156" s="2076"/>
      <c r="AO156" s="1957"/>
      <c r="AP156" s="2108">
        <v>45.0</v>
      </c>
      <c r="AQ156" s="2131">
        <v>0.0</v>
      </c>
      <c r="AR156" s="2132">
        <f t="shared" si="30"/>
        <v>45</v>
      </c>
      <c r="AS156" s="2102">
        <f t="shared" si="28"/>
        <v>1</v>
      </c>
      <c r="AT156" s="1957"/>
      <c r="AU156" s="1957"/>
      <c r="AV156" s="1957"/>
      <c r="AW156" s="1957"/>
      <c r="AX156" s="1957"/>
      <c r="AY156" s="1957"/>
      <c r="AZ156" s="2111"/>
      <c r="BA156" s="2111"/>
      <c r="BB156" s="2111"/>
      <c r="BC156" s="2082"/>
      <c r="BD156" s="2082"/>
      <c r="BE156" s="2082"/>
      <c r="BF156" s="2082"/>
    </row>
    <row r="157">
      <c r="A157" s="1625"/>
      <c r="B157" s="1625"/>
      <c r="C157" s="1043"/>
      <c r="D157" s="1189"/>
      <c r="E157" s="707"/>
      <c r="F157" s="707"/>
      <c r="G157" s="707"/>
      <c r="H157" s="707"/>
      <c r="I157" s="707"/>
      <c r="J157" s="707"/>
      <c r="K157" s="707"/>
      <c r="L157" s="707"/>
      <c r="M157" s="707"/>
      <c r="N157" s="1190"/>
      <c r="O157" s="1190"/>
      <c r="P157" s="707"/>
      <c r="Q157" s="707"/>
      <c r="R157" s="707"/>
      <c r="S157" s="707"/>
      <c r="T157" s="707"/>
      <c r="U157" s="707"/>
      <c r="V157" s="707"/>
      <c r="W157" s="707"/>
      <c r="X157" s="707"/>
      <c r="Y157" s="707"/>
      <c r="Z157" s="707"/>
      <c r="AA157" s="707"/>
      <c r="AB157" s="707"/>
      <c r="AC157" s="1191"/>
      <c r="AD157" s="1191"/>
      <c r="AE157" s="1191"/>
      <c r="AF157" s="1191"/>
      <c r="AG157" s="1191"/>
      <c r="AH157" s="1192" t="s">
        <v>201</v>
      </c>
      <c r="AI157" s="1627"/>
      <c r="AJ157" s="1193">
        <f>SUM(AJ140:AM156)</f>
        <v>8472.6096</v>
      </c>
      <c r="AK157" s="85"/>
      <c r="AL157" s="85"/>
      <c r="AM157" s="86"/>
      <c r="AN157" s="2070">
        <f>AJ157/$AJ$159</f>
        <v>0.004680620619</v>
      </c>
      <c r="AO157" s="1957"/>
      <c r="AP157" s="1957"/>
      <c r="AQ157" s="1957"/>
      <c r="AR157" s="1957"/>
      <c r="AS157" s="1957"/>
      <c r="AT157" s="1957"/>
      <c r="AU157" s="1957"/>
      <c r="AV157" s="2133"/>
      <c r="AW157" s="2133"/>
      <c r="AX157" s="2134">
        <f>'OPI Constr'!AG108*'OPI Constr'!C108</f>
        <v>91.97</v>
      </c>
      <c r="AY157" s="483"/>
      <c r="AZ157" s="2133" t="s">
        <v>654</v>
      </c>
      <c r="BA157" s="1957"/>
      <c r="BB157" s="1957"/>
      <c r="BC157" s="2082"/>
      <c r="BD157" s="2082"/>
      <c r="BE157" s="2082"/>
      <c r="BF157" s="2082"/>
    </row>
    <row r="158" ht="3.0" customHeight="1">
      <c r="A158" s="2135"/>
      <c r="B158" s="2135"/>
      <c r="C158" s="2135"/>
      <c r="D158" s="2135"/>
      <c r="E158" s="720"/>
      <c r="F158" s="720"/>
      <c r="G158" s="720"/>
      <c r="H158" s="720"/>
      <c r="I158" s="720"/>
      <c r="J158" s="720"/>
      <c r="K158" s="720"/>
      <c r="L158" s="720"/>
      <c r="M158" s="720"/>
      <c r="N158" s="720"/>
      <c r="O158" s="720"/>
      <c r="P158" s="720"/>
      <c r="Q158" s="720"/>
      <c r="R158" s="1043"/>
      <c r="S158" s="1043"/>
      <c r="T158" s="1043"/>
      <c r="U158" s="1043"/>
      <c r="V158" s="1043"/>
      <c r="W158" s="1043"/>
      <c r="X158" s="1043"/>
      <c r="Y158" s="1043"/>
      <c r="Z158" s="1043"/>
      <c r="AA158" s="720"/>
      <c r="AB158" s="720"/>
      <c r="AC158" s="720"/>
      <c r="AD158" s="720"/>
      <c r="AE158" s="720"/>
      <c r="AF158" s="1129"/>
      <c r="AG158" s="720"/>
      <c r="AH158" s="720"/>
      <c r="AI158" s="720"/>
      <c r="AJ158" s="1043"/>
      <c r="AK158" s="1043"/>
      <c r="AL158" s="1043"/>
      <c r="AM158" s="720"/>
      <c r="AN158" s="1957"/>
      <c r="AO158" s="1957"/>
      <c r="AP158" s="1957"/>
      <c r="AQ158" s="1957"/>
      <c r="AR158" s="1957"/>
      <c r="AS158" s="1957"/>
      <c r="AT158" s="1957"/>
      <c r="AU158" s="1957"/>
      <c r="AV158" s="1957"/>
      <c r="AW158" s="1957"/>
      <c r="AX158" s="1957"/>
      <c r="AY158" s="1957"/>
      <c r="AZ158" s="1957"/>
      <c r="BA158" s="1957"/>
      <c r="BB158" s="1957"/>
      <c r="BC158" s="2082"/>
      <c r="BD158" s="2082"/>
      <c r="BE158" s="2082"/>
      <c r="BF158" s="2082"/>
    </row>
    <row r="159" ht="18.0" customHeight="1">
      <c r="A159" s="439" t="s">
        <v>202</v>
      </c>
      <c r="B159" s="440"/>
      <c r="C159" s="440"/>
      <c r="D159" s="440"/>
      <c r="E159" s="440"/>
      <c r="F159" s="440"/>
      <c r="G159" s="440"/>
      <c r="H159" s="440"/>
      <c r="I159" s="440"/>
      <c r="J159" s="440"/>
      <c r="L159" s="2310" t="s">
        <v>802</v>
      </c>
      <c r="X159" s="263"/>
      <c r="Y159" s="442"/>
      <c r="Z159" s="387"/>
      <c r="AA159" s="1496" t="s">
        <v>203</v>
      </c>
      <c r="AB159" s="85"/>
      <c r="AC159" s="85"/>
      <c r="AD159" s="85"/>
      <c r="AE159" s="85"/>
      <c r="AF159" s="85"/>
      <c r="AG159" s="85"/>
      <c r="AH159" s="85"/>
      <c r="AI159" s="86"/>
      <c r="AJ159" s="1195">
        <f>SUM(AJ111,AJ135,AJ123,AJ157)</f>
        <v>1810146.622</v>
      </c>
      <c r="AK159" s="85"/>
      <c r="AL159" s="85"/>
      <c r="AM159" s="86"/>
      <c r="AN159" s="1957"/>
      <c r="AO159" s="1957"/>
      <c r="AP159" s="2137">
        <f>AJ162/K123</f>
        <v>24395.50703</v>
      </c>
      <c r="AQ159" s="2138" t="s">
        <v>204</v>
      </c>
      <c r="AR159" s="2139"/>
      <c r="AS159" s="1957"/>
      <c r="AT159" s="1957"/>
      <c r="AU159" s="1957"/>
      <c r="AV159" s="1957"/>
      <c r="AW159" s="1957"/>
      <c r="AX159" s="1957"/>
      <c r="AY159" s="1957"/>
      <c r="AZ159" s="1957"/>
      <c r="BA159" s="1957"/>
      <c r="BB159" s="1957"/>
      <c r="BC159" s="2082"/>
      <c r="BD159" s="2082"/>
      <c r="BE159" s="2082"/>
      <c r="BF159" s="2082"/>
    </row>
    <row r="160" ht="12.0" customHeight="1">
      <c r="A160" s="439" t="s">
        <v>205</v>
      </c>
      <c r="T160" s="34"/>
      <c r="U160" s="34"/>
      <c r="V160" s="34"/>
      <c r="W160" s="34"/>
      <c r="X160" s="34"/>
      <c r="Y160" s="34"/>
      <c r="Z160" s="448"/>
      <c r="AA160" s="448"/>
      <c r="AB160" s="448"/>
      <c r="AC160" s="448"/>
      <c r="AD160" s="448"/>
      <c r="AE160" s="448"/>
      <c r="AF160" s="448"/>
      <c r="AG160" s="448"/>
      <c r="AH160" s="448"/>
      <c r="AI160" s="34"/>
      <c r="AJ160" s="34"/>
      <c r="AK160" s="34"/>
      <c r="AL160" s="34"/>
      <c r="AM160" s="34"/>
      <c r="AN160" s="1957"/>
      <c r="AO160" s="1957"/>
      <c r="AP160" s="1471"/>
      <c r="AQ160" s="1963"/>
      <c r="AR160" s="1957"/>
      <c r="AS160" s="1471"/>
      <c r="AT160" s="1471"/>
      <c r="AU160" s="1471"/>
      <c r="AV160" s="1957"/>
      <c r="AW160" s="1957"/>
      <c r="AX160" s="1957"/>
      <c r="AY160" s="1957"/>
      <c r="AZ160" s="1957"/>
      <c r="BA160" s="1957"/>
      <c r="BB160" s="1957"/>
      <c r="BC160" s="2082"/>
      <c r="BD160" s="2082"/>
      <c r="BE160" s="2082"/>
      <c r="BF160" s="2082"/>
    </row>
    <row r="161" ht="18.0" customHeight="1">
      <c r="A161" s="449" t="s">
        <v>206</v>
      </c>
      <c r="G161" s="2146" t="s">
        <v>803</v>
      </c>
      <c r="P161" s="263"/>
      <c r="Q161" s="451" t="s">
        <v>207</v>
      </c>
      <c r="R161" s="452"/>
      <c r="S161" s="452"/>
      <c r="T161" s="452"/>
      <c r="U161" s="452"/>
      <c r="V161" s="452"/>
      <c r="W161" s="453"/>
      <c r="X161" s="453"/>
      <c r="Y161" s="396"/>
      <c r="Z161" s="396"/>
      <c r="AA161" s="707"/>
      <c r="AB161" s="707"/>
      <c r="AC161" s="707"/>
      <c r="AD161" s="707"/>
      <c r="AE161" s="707"/>
      <c r="AF161" s="2141"/>
      <c r="AG161" s="707"/>
      <c r="AH161" s="707"/>
      <c r="AI161" s="2142" t="s">
        <v>208</v>
      </c>
      <c r="AJ161" s="2143">
        <f>'OPI Constr'!AJ217</f>
        <v>2433264.964</v>
      </c>
      <c r="AK161" s="294"/>
      <c r="AL161" s="294"/>
      <c r="AM161" s="458"/>
      <c r="AN161" s="1957"/>
      <c r="AO161" s="1957"/>
      <c r="AP161" s="2144">
        <f>+(AJ161-AJ162)/AJ161</f>
        <v>0.2560832264</v>
      </c>
      <c r="AQ161" s="2145" t="s">
        <v>209</v>
      </c>
      <c r="AR161" s="1957"/>
      <c r="AS161" s="2139"/>
      <c r="AT161" s="2139"/>
      <c r="AU161" s="1471"/>
      <c r="AV161" s="1957"/>
      <c r="AW161" s="1957"/>
      <c r="AX161" s="1957"/>
      <c r="AY161" s="1957"/>
      <c r="AZ161" s="1957"/>
      <c r="BA161" s="1957"/>
      <c r="BB161" s="1957"/>
      <c r="BC161" s="2082"/>
      <c r="BD161" s="2082"/>
      <c r="BE161" s="2082"/>
      <c r="BF161" s="2082"/>
    </row>
    <row r="162" ht="18.75" customHeight="1">
      <c r="A162" s="462" t="s">
        <v>210</v>
      </c>
      <c r="G162" s="2146" t="s">
        <v>803</v>
      </c>
      <c r="P162" s="263"/>
      <c r="Q162" s="463"/>
      <c r="R162" s="464"/>
      <c r="S162" s="464"/>
      <c r="T162" s="464"/>
      <c r="U162" s="464"/>
      <c r="V162" s="464"/>
      <c r="W162" s="464"/>
      <c r="X162" s="464"/>
      <c r="Y162" s="34"/>
      <c r="Z162" s="34"/>
      <c r="AA162" s="720"/>
      <c r="AB162" s="720"/>
      <c r="AC162" s="720"/>
      <c r="AD162" s="720"/>
      <c r="AE162" s="720"/>
      <c r="AF162" s="1129"/>
      <c r="AG162" s="720"/>
      <c r="AH162" s="720"/>
      <c r="AI162" s="2147" t="s">
        <v>211</v>
      </c>
      <c r="AJ162" s="2148">
        <f>AJ159</f>
        <v>1810146.622</v>
      </c>
      <c r="AK162" s="467"/>
      <c r="AL162" s="467"/>
      <c r="AM162" s="468"/>
      <c r="AN162" s="1957"/>
      <c r="AO162" s="1957"/>
      <c r="AP162" s="2149">
        <f>AI165/K123</f>
        <v>32789.75741</v>
      </c>
      <c r="AQ162" s="1963"/>
      <c r="AR162" s="1471"/>
      <c r="AS162" s="1957"/>
      <c r="AT162" s="1957"/>
      <c r="AU162" s="1957"/>
      <c r="AV162" s="1957"/>
      <c r="AW162" s="1957"/>
      <c r="AX162" s="1957"/>
      <c r="AY162" s="1957"/>
      <c r="AZ162" s="1957"/>
      <c r="BA162" s="1957"/>
      <c r="BB162" s="1957"/>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9"/>
      <c r="AG163" s="720"/>
      <c r="AH163" s="720"/>
      <c r="AI163" s="2150"/>
      <c r="AJ163" s="2151"/>
      <c r="AK163" s="473"/>
      <c r="AL163" s="473"/>
      <c r="AM163" s="474"/>
      <c r="AN163" s="1957"/>
      <c r="AO163" s="1957"/>
      <c r="AP163" s="1957"/>
      <c r="AQ163" s="2152" t="s">
        <v>213</v>
      </c>
      <c r="AR163" s="1471"/>
      <c r="AS163" s="1957"/>
      <c r="AT163" s="1957"/>
      <c r="AU163" s="1957"/>
      <c r="AV163" s="1957"/>
      <c r="AW163" s="1957"/>
      <c r="AX163" s="1957"/>
      <c r="AY163" s="1957"/>
      <c r="AZ163" s="1957"/>
      <c r="BA163" s="1957"/>
      <c r="BB163" s="1957"/>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7"/>
      <c r="AO164" s="1957"/>
      <c r="AP164" s="1957"/>
      <c r="AQ164" s="1957"/>
      <c r="AR164" s="1957"/>
      <c r="AS164" s="1471"/>
      <c r="AT164" s="1471"/>
      <c r="AU164" s="1957"/>
      <c r="AV164" s="1957"/>
      <c r="AW164" s="1957"/>
      <c r="AX164" s="1957"/>
      <c r="AY164" s="1957"/>
      <c r="AZ164" s="1957"/>
      <c r="BA164" s="1957"/>
      <c r="BB164" s="1957"/>
    </row>
    <row r="165">
      <c r="A165" s="2153" t="s">
        <v>737</v>
      </c>
      <c r="Q165" s="470"/>
      <c r="R165" s="479"/>
      <c r="T165" s="464"/>
      <c r="U165" s="464"/>
      <c r="V165" s="464"/>
      <c r="W165" s="464"/>
      <c r="X165" s="34"/>
      <c r="Y165" s="34"/>
      <c r="Z165" s="34"/>
      <c r="AA165" s="34"/>
      <c r="AB165" s="34"/>
      <c r="AC165" s="34"/>
      <c r="AD165" s="34"/>
      <c r="AE165" s="34"/>
      <c r="AF165" s="305"/>
      <c r="AG165" s="34"/>
      <c r="AH165" s="480" t="s">
        <v>215</v>
      </c>
      <c r="AI165" s="481">
        <f>ROUND(AJ161,-3)</f>
        <v>2433000</v>
      </c>
      <c r="AJ165" s="482"/>
      <c r="AK165" s="482"/>
      <c r="AL165" s="482"/>
      <c r="AM165" s="1759"/>
      <c r="AN165" s="1957"/>
      <c r="AO165" s="1957"/>
      <c r="AP165" s="1957"/>
      <c r="AQ165" s="1957"/>
      <c r="AR165" s="1957"/>
      <c r="AS165" s="1471"/>
      <c r="AT165" s="1471"/>
      <c r="AU165" s="1957"/>
      <c r="AV165" s="1957"/>
      <c r="AW165" s="1957"/>
      <c r="AX165" s="1957"/>
      <c r="AY165" s="1957"/>
      <c r="AZ165" s="1957"/>
      <c r="BA165" s="1957"/>
      <c r="BB165" s="1957"/>
    </row>
    <row r="166">
      <c r="Q166" s="470"/>
      <c r="R166" s="479"/>
      <c r="S166" s="479"/>
      <c r="T166" s="464"/>
      <c r="U166" s="464"/>
      <c r="V166" s="464"/>
      <c r="W166" s="464"/>
      <c r="X166" s="34"/>
      <c r="Y166" s="34"/>
      <c r="Z166" s="34"/>
      <c r="AA166" s="34"/>
      <c r="AB166" s="34"/>
      <c r="AC166" s="34"/>
      <c r="AD166" s="34"/>
      <c r="AE166" s="34"/>
      <c r="AF166" s="305"/>
      <c r="AG166" s="34"/>
      <c r="AH166" s="480" t="s">
        <v>699</v>
      </c>
      <c r="AI166" s="481">
        <f>AI165*AP166</f>
        <v>9732</v>
      </c>
      <c r="AJ166" s="482"/>
      <c r="AK166" s="482"/>
      <c r="AL166" s="482"/>
      <c r="AM166" s="1759"/>
      <c r="AN166" s="1957"/>
      <c r="AO166" s="1957"/>
      <c r="AP166" s="2154">
        <v>0.004</v>
      </c>
      <c r="AQ166" s="2138" t="s">
        <v>217</v>
      </c>
      <c r="AR166" s="1963"/>
      <c r="AS166" s="1963"/>
      <c r="AT166" s="1963"/>
      <c r="AU166" s="1957"/>
      <c r="AV166" s="1957"/>
      <c r="AW166" s="1957"/>
      <c r="AX166" s="1957"/>
      <c r="AY166" s="1957"/>
      <c r="AZ166" s="1957"/>
      <c r="BA166" s="1957"/>
      <c r="BB166" s="1957"/>
    </row>
    <row r="167" ht="12.75" customHeight="1">
      <c r="Q167" s="2155" t="str">
        <f>AP344</f>
        <v>DOS MILLONES CUATROCIENTOS TREINTA Y TRES  MIL  PESOS 00/100  M.N.</v>
      </c>
      <c r="AM167" s="263"/>
      <c r="AN167" s="1957"/>
      <c r="AO167" s="1957"/>
      <c r="AP167" s="1957"/>
      <c r="AQ167" s="1957"/>
      <c r="AR167" s="2156"/>
      <c r="AS167" s="2156"/>
      <c r="AT167" s="1471"/>
      <c r="AU167" s="1957"/>
      <c r="AV167" s="1957"/>
      <c r="AW167" s="1957"/>
      <c r="AX167" s="1957"/>
      <c r="AY167" s="1957"/>
      <c r="AZ167" s="1957"/>
      <c r="BA167" s="1957"/>
      <c r="BB167" s="1957"/>
    </row>
    <row r="168" ht="11.25" customHeight="1">
      <c r="Q168" s="2157" t="s">
        <v>219</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7"/>
      <c r="AO168" s="1957"/>
      <c r="AP168" s="1957"/>
      <c r="AQ168" s="1957"/>
      <c r="AR168" s="1963"/>
      <c r="AS168" s="1963"/>
      <c r="AT168" s="1988"/>
      <c r="AU168" s="1957"/>
      <c r="AV168" s="1957"/>
      <c r="AW168" s="1957"/>
      <c r="AX168" s="1957"/>
      <c r="AY168" s="1957"/>
      <c r="AZ168" s="1957"/>
      <c r="BA168" s="1957"/>
      <c r="BB168" s="1957"/>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3"/>
      <c r="AN169" s="1957"/>
      <c r="AO169" s="1957"/>
      <c r="AP169" s="1957"/>
      <c r="AQ169" s="1957"/>
      <c r="AR169" s="2158"/>
      <c r="AS169" s="2158"/>
      <c r="AT169" s="1471"/>
      <c r="AU169" s="1957"/>
      <c r="AV169" s="1957"/>
      <c r="AW169" s="1957"/>
      <c r="AX169" s="1957"/>
      <c r="AY169" s="1957"/>
      <c r="AZ169" s="1957"/>
      <c r="BA169" s="1957"/>
      <c r="BB169" s="1957"/>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220</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7"/>
      <c r="AO170" s="1957"/>
      <c r="AP170" s="2159"/>
      <c r="AQ170" s="2160"/>
      <c r="AR170" s="1963"/>
      <c r="AS170" s="1963"/>
      <c r="AT170" s="1963"/>
      <c r="AU170" s="1957"/>
      <c r="AV170" s="1957"/>
      <c r="AW170" s="1957"/>
      <c r="AX170" s="1957"/>
      <c r="AY170" s="1957"/>
      <c r="AZ170" s="1957"/>
      <c r="BA170" s="1957"/>
      <c r="BB170" s="1957"/>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222</v>
      </c>
      <c r="P171" s="493"/>
      <c r="R171" s="493"/>
      <c r="S171" s="493"/>
      <c r="T171" s="493"/>
      <c r="U171" s="493"/>
      <c r="V171" s="90" t="s">
        <v>223</v>
      </c>
      <c r="Y171" s="493"/>
      <c r="Z171" s="493"/>
      <c r="AA171" s="34"/>
      <c r="AB171" s="34"/>
      <c r="AC171" s="34"/>
      <c r="AD171" s="34"/>
      <c r="AI171" s="34"/>
      <c r="AJ171" s="34"/>
      <c r="AK171" s="491"/>
      <c r="AL171" s="491"/>
      <c r="AM171" s="491"/>
      <c r="AN171" s="1957"/>
      <c r="AO171" s="1957"/>
      <c r="AP171" s="2159"/>
      <c r="AQ171" s="2160"/>
      <c r="AR171" s="1963"/>
      <c r="AS171" s="1963"/>
      <c r="AT171" s="1963"/>
      <c r="AU171" s="1957"/>
      <c r="AV171" s="1957"/>
      <c r="AW171" s="1957"/>
      <c r="AX171" s="1957"/>
      <c r="AY171" s="1957"/>
      <c r="AZ171" s="1957"/>
      <c r="BA171" s="1957"/>
      <c r="BB171" s="1957"/>
      <c r="BL171" s="34"/>
      <c r="BM171" s="34"/>
      <c r="BN171" s="34"/>
      <c r="BO171" s="34"/>
      <c r="BP171" s="34"/>
      <c r="BQ171" s="34"/>
      <c r="BR171" s="34"/>
    </row>
    <row r="172">
      <c r="A172" s="2161"/>
      <c r="B172" s="2161"/>
      <c r="C172" s="2161"/>
      <c r="D172" s="2161"/>
      <c r="E172" s="2161"/>
      <c r="F172" s="2161"/>
      <c r="G172" s="2161"/>
      <c r="H172" s="2161"/>
      <c r="I172" s="2161"/>
      <c r="J172" s="2161"/>
      <c r="K172" s="2161"/>
      <c r="L172" s="2161"/>
      <c r="M172" s="2161"/>
      <c r="N172" s="2161"/>
      <c r="O172" s="2161"/>
      <c r="P172" s="2161"/>
      <c r="Q172" s="2161"/>
      <c r="R172" s="2161"/>
      <c r="S172" s="2161"/>
      <c r="T172" s="2161"/>
      <c r="U172" s="2161"/>
      <c r="V172" s="2161"/>
      <c r="W172" s="2161"/>
      <c r="X172" s="2161"/>
      <c r="Y172" s="2161"/>
      <c r="Z172" s="2161"/>
      <c r="AA172" s="2161"/>
      <c r="AB172" s="2161"/>
      <c r="AC172" s="2161"/>
      <c r="AD172" s="2161"/>
      <c r="AE172" s="2161"/>
      <c r="AF172" s="2161"/>
      <c r="AG172" s="2161"/>
      <c r="AH172" s="2161"/>
      <c r="AI172" s="2161"/>
      <c r="AJ172" s="2161"/>
      <c r="AK172" s="2161"/>
      <c r="AL172" s="2161"/>
      <c r="AM172" s="2161"/>
      <c r="AN172" s="1957"/>
      <c r="AO172" s="1957"/>
      <c r="AP172" s="2162"/>
      <c r="AQ172" s="1957"/>
      <c r="AR172" s="2163"/>
      <c r="AS172" s="1957"/>
      <c r="AT172" s="1957"/>
      <c r="AU172" s="1957"/>
      <c r="AV172" s="1957"/>
      <c r="AW172" s="1957"/>
      <c r="AX172" s="1957"/>
      <c r="AY172" s="1957"/>
      <c r="AZ172" s="1957"/>
      <c r="BA172" s="1957"/>
      <c r="BB172" s="1957"/>
    </row>
    <row r="173" ht="12.75" customHeight="1">
      <c r="A173" s="126" t="s">
        <v>224</v>
      </c>
      <c r="AN173" s="1957"/>
      <c r="AO173" s="1957"/>
      <c r="AP173" s="2162"/>
      <c r="AQ173" s="1957"/>
      <c r="AR173" s="2163"/>
      <c r="AS173" s="1957"/>
      <c r="AT173" s="1957"/>
      <c r="AU173" s="1957"/>
      <c r="AV173" s="1957"/>
      <c r="AW173" s="1957"/>
      <c r="AX173" s="1957"/>
      <c r="AY173" s="1957"/>
      <c r="AZ173" s="1957"/>
      <c r="BA173" s="1957"/>
      <c r="BB173" s="1957"/>
    </row>
    <row r="174" ht="10.5" customHeight="1">
      <c r="A174" s="1207" t="s">
        <v>225</v>
      </c>
      <c r="AN174" s="1957"/>
      <c r="AO174" s="1957"/>
      <c r="AP174" s="1957"/>
      <c r="AQ174" s="1957"/>
      <c r="AR174" s="1957"/>
      <c r="AS174" s="1957"/>
      <c r="AT174" s="1957"/>
      <c r="AU174" s="1957"/>
      <c r="AV174" s="1957"/>
      <c r="AW174" s="1957"/>
      <c r="AX174" s="1957"/>
      <c r="AY174" s="1957"/>
      <c r="AZ174" s="1957"/>
      <c r="BA174" s="1957"/>
      <c r="BB174" s="1957"/>
    </row>
    <row r="175" ht="10.5" customHeight="1">
      <c r="AN175" s="1957"/>
      <c r="AO175" s="1957"/>
      <c r="AP175" s="1957"/>
      <c r="AQ175" s="2164"/>
      <c r="AR175" s="1957"/>
      <c r="AS175" s="1957"/>
      <c r="AT175" s="1957"/>
      <c r="AU175" s="1957"/>
      <c r="AV175" s="1957"/>
      <c r="AW175" s="1957"/>
      <c r="AX175" s="1957"/>
      <c r="AY175" s="1957"/>
      <c r="AZ175" s="1957"/>
      <c r="BA175" s="1957"/>
      <c r="BB175" s="1957"/>
    </row>
    <row r="176" ht="10.5" customHeight="1">
      <c r="A176" s="1208" t="s">
        <v>226</v>
      </c>
      <c r="B176" s="1208"/>
      <c r="C176" s="91"/>
      <c r="D176" s="91"/>
      <c r="E176" s="1209"/>
      <c r="F176" s="1209"/>
      <c r="G176" s="1209"/>
      <c r="H176" s="1209"/>
      <c r="I176" s="1209"/>
      <c r="J176" s="1210"/>
      <c r="K176" s="1674"/>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7"/>
      <c r="AO176" s="1957"/>
      <c r="AP176" s="1957"/>
      <c r="AQ176" s="1957"/>
      <c r="AR176" s="1957"/>
      <c r="AS176" s="1957"/>
      <c r="AT176" s="1957"/>
      <c r="AU176" s="1957"/>
      <c r="AV176" s="1957"/>
      <c r="AW176" s="1957"/>
      <c r="AX176" s="1957"/>
      <c r="AY176" s="1957"/>
      <c r="AZ176" s="1957"/>
      <c r="BA176" s="1957"/>
      <c r="BB176" s="1957"/>
    </row>
    <row r="177" ht="10.5" customHeight="1">
      <c r="A177" s="1208" t="s">
        <v>227</v>
      </c>
      <c r="B177" s="1208"/>
      <c r="C177" s="91"/>
      <c r="D177" s="91"/>
      <c r="E177" s="1209"/>
      <c r="F177" s="1209"/>
      <c r="G177" s="1209"/>
      <c r="H177" s="1209"/>
      <c r="I177" s="1209"/>
      <c r="J177" s="1210"/>
      <c r="K177" s="167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7"/>
      <c r="AO177" s="1957"/>
      <c r="AP177" s="1957"/>
      <c r="AQ177" s="1957"/>
      <c r="AR177" s="1957"/>
      <c r="AS177" s="1957"/>
      <c r="AT177" s="1957"/>
      <c r="AU177" s="1957"/>
      <c r="AV177" s="1957"/>
      <c r="AW177" s="1957"/>
      <c r="AX177" s="1957"/>
      <c r="AY177" s="1957"/>
      <c r="AZ177" s="1957"/>
      <c r="BA177" s="1957"/>
      <c r="BB177" s="1957"/>
    </row>
    <row r="178" ht="10.5" customHeight="1">
      <c r="A178" s="1208" t="s">
        <v>228</v>
      </c>
      <c r="B178" s="1208"/>
      <c r="C178" s="91"/>
      <c r="D178" s="91"/>
      <c r="E178" s="1209"/>
      <c r="F178" s="1209"/>
      <c r="G178" s="1209"/>
      <c r="H178" s="1209"/>
      <c r="I178" s="1209"/>
      <c r="J178" s="1210"/>
      <c r="K178" s="1675"/>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7"/>
      <c r="AO178" s="1957"/>
      <c r="AP178" s="1957"/>
      <c r="AQ178" s="1957"/>
      <c r="AR178" s="1957"/>
      <c r="AS178" s="1957"/>
      <c r="AT178" s="1957"/>
      <c r="AU178" s="1957"/>
      <c r="AV178" s="1957"/>
      <c r="AW178" s="1957"/>
      <c r="AX178" s="1957"/>
      <c r="AY178" s="1957"/>
      <c r="AZ178" s="1957"/>
      <c r="BA178" s="1957"/>
      <c r="BB178" s="1957"/>
    </row>
    <row r="179" ht="10.5" customHeight="1">
      <c r="A179" s="1208" t="s">
        <v>229</v>
      </c>
      <c r="B179" s="1208"/>
      <c r="C179" s="91"/>
      <c r="D179" s="91"/>
      <c r="E179" s="1209"/>
      <c r="F179" s="1209"/>
      <c r="G179" s="1209"/>
      <c r="H179" s="1209"/>
      <c r="I179" s="1209"/>
      <c r="J179" s="1210"/>
      <c r="K179" s="1675"/>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7"/>
      <c r="AO179" s="1957"/>
      <c r="AP179" s="1957"/>
      <c r="AQ179" s="1957"/>
      <c r="AR179" s="1957"/>
      <c r="AS179" s="1957"/>
      <c r="AT179" s="1957"/>
      <c r="AU179" s="1957"/>
      <c r="AV179" s="1957"/>
      <c r="AW179" s="1957"/>
      <c r="AX179" s="1957"/>
      <c r="AY179" s="1957"/>
      <c r="AZ179" s="1957"/>
      <c r="BA179" s="1957"/>
      <c r="BB179" s="1957"/>
    </row>
    <row r="180" ht="10.5" customHeight="1">
      <c r="A180" s="2165" t="s">
        <v>230</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957"/>
      <c r="AO180" s="1957"/>
      <c r="AP180" s="1957"/>
      <c r="AQ180" s="1957"/>
      <c r="AR180" s="1957"/>
      <c r="AS180" s="1957"/>
      <c r="AT180" s="1957"/>
      <c r="AU180" s="1957"/>
      <c r="AV180" s="1957"/>
      <c r="AW180" s="1957"/>
      <c r="AX180" s="1957"/>
      <c r="AY180" s="1957"/>
      <c r="AZ180" s="1957"/>
      <c r="BA180" s="1957"/>
      <c r="BB180" s="1957"/>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1"/>
      <c r="AO181" s="1471"/>
      <c r="AP181" s="1471"/>
      <c r="AQ181" s="1471"/>
      <c r="AR181" s="1471"/>
      <c r="AS181" s="1471"/>
      <c r="AT181" s="1471"/>
      <c r="AU181" s="1471"/>
      <c r="AV181" s="1471"/>
      <c r="AW181" s="1471"/>
      <c r="AX181" s="1471"/>
      <c r="AY181" s="1471"/>
      <c r="AZ181" s="1471"/>
      <c r="BA181" s="1471"/>
      <c r="BB181" s="1471"/>
      <c r="BC181" s="34"/>
      <c r="BD181" s="34"/>
      <c r="BE181" s="34"/>
      <c r="BF181" s="34"/>
      <c r="BG181" s="34"/>
      <c r="BH181" s="34"/>
      <c r="BI181" s="34"/>
      <c r="BJ181" s="34"/>
      <c r="BK181" s="34"/>
      <c r="BL181" s="34"/>
      <c r="BM181" s="34"/>
      <c r="BN181" s="34"/>
      <c r="BO181" s="34"/>
      <c r="BP181" s="34"/>
      <c r="BQ181" s="34"/>
      <c r="BR181" s="34"/>
    </row>
    <row r="182" ht="12.75" customHeight="1">
      <c r="A182" s="126" t="s">
        <v>662</v>
      </c>
      <c r="AN182" s="1957"/>
      <c r="AO182" s="1957"/>
      <c r="AP182" s="1957"/>
      <c r="AQ182" s="1957"/>
      <c r="AR182" s="1957"/>
      <c r="AS182" s="1957"/>
      <c r="AT182" s="1957"/>
      <c r="AU182" s="1957"/>
      <c r="AV182" s="1957"/>
      <c r="AW182" s="1957"/>
      <c r="AX182" s="1957"/>
      <c r="AY182" s="1957"/>
      <c r="AZ182" s="1957"/>
      <c r="BA182" s="1957"/>
      <c r="BB182" s="1957"/>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7"/>
      <c r="AO183" s="1957"/>
      <c r="AP183" s="1957"/>
      <c r="AQ183" s="1957"/>
      <c r="AR183" s="1957"/>
      <c r="AS183" s="1957"/>
      <c r="AT183" s="1957"/>
      <c r="AU183" s="1957"/>
      <c r="AV183" s="1957"/>
      <c r="AW183" s="1957"/>
      <c r="AX183" s="1957"/>
      <c r="AY183" s="1957"/>
      <c r="AZ183" s="1957"/>
      <c r="BA183" s="1957"/>
      <c r="BB183" s="1957"/>
    </row>
    <row r="184" ht="13.5" customHeight="1">
      <c r="A184" s="508"/>
      <c r="B184" s="86"/>
      <c r="C184" s="557" t="s">
        <v>232</v>
      </c>
      <c r="D184" s="85"/>
      <c r="E184" s="85"/>
      <c r="F184" s="85"/>
      <c r="G184" s="86"/>
      <c r="H184" s="1679" t="s">
        <v>233</v>
      </c>
      <c r="I184" s="85"/>
      <c r="J184" s="85"/>
      <c r="K184" s="85"/>
      <c r="L184" s="85"/>
      <c r="M184" s="85"/>
      <c r="N184" s="86"/>
      <c r="O184" s="1679" t="s">
        <v>234</v>
      </c>
      <c r="P184" s="85"/>
      <c r="Q184" s="85"/>
      <c r="R184" s="85"/>
      <c r="S184" s="85"/>
      <c r="T184" s="86"/>
      <c r="U184" s="1679" t="s">
        <v>235</v>
      </c>
      <c r="V184" s="86"/>
      <c r="W184" s="1679" t="s">
        <v>236</v>
      </c>
      <c r="X184" s="85"/>
      <c r="Y184" s="85"/>
      <c r="Z184" s="85"/>
      <c r="AA184" s="85"/>
      <c r="AB184" s="85"/>
      <c r="AC184" s="85"/>
      <c r="AD184" s="85"/>
      <c r="AE184" s="85"/>
      <c r="AF184" s="85"/>
      <c r="AG184" s="85"/>
      <c r="AH184" s="85"/>
      <c r="AI184" s="86"/>
      <c r="AJ184" s="1679" t="s">
        <v>237</v>
      </c>
      <c r="AK184" s="85"/>
      <c r="AL184" s="85"/>
      <c r="AM184" s="86"/>
      <c r="AN184" s="1957"/>
      <c r="AO184" s="1957"/>
      <c r="AP184" s="1957"/>
      <c r="AQ184" s="1957"/>
      <c r="AR184" s="1957"/>
      <c r="AS184" s="1957"/>
      <c r="AT184" s="1957"/>
      <c r="AU184" s="1957"/>
      <c r="AV184" s="1957"/>
      <c r="AW184" s="1957"/>
      <c r="AX184" s="1957"/>
      <c r="AY184" s="1957"/>
      <c r="AZ184" s="1957"/>
      <c r="BA184" s="1957"/>
      <c r="BB184" s="1957"/>
    </row>
    <row r="185" ht="45.0" customHeight="1">
      <c r="A185" s="511">
        <v>1.0</v>
      </c>
      <c r="B185" s="512"/>
      <c r="C185" s="1681" t="str">
        <f>+E8</f>
        <v>Casa Habitación</v>
      </c>
      <c r="D185" s="567"/>
      <c r="E185" s="567"/>
      <c r="F185" s="567"/>
      <c r="G185" s="512"/>
      <c r="H185" s="514" t="str">
        <f>UPPER(Mercado!F30)</f>
        <v>AVENIDA FIDEL VELAZQUEZ 380</v>
      </c>
      <c r="I185" s="255"/>
      <c r="J185" s="255"/>
      <c r="K185" s="255"/>
      <c r="L185" s="255"/>
      <c r="M185" s="255"/>
      <c r="N185" s="253"/>
      <c r="O185" s="1683" t="str">
        <f>UPPER(Mercado!E30)</f>
        <v>SAN ELIAS</v>
      </c>
      <c r="P185" s="567"/>
      <c r="Q185" s="567"/>
      <c r="R185" s="567"/>
      <c r="S185" s="567"/>
      <c r="T185" s="512"/>
      <c r="U185" s="1215">
        <f>+Mercado!L30</f>
        <v>40</v>
      </c>
      <c r="V185" s="253"/>
      <c r="W185" s="2311" t="str">
        <f>PROPER(Mercado!G30)</f>
        <v>1 Nivel 3 Recamaras Con Closet Cocina Con Alacenas Estufas Área Sala-Comedor 1 Baño Completo Patio Amplio Con Jardín</v>
      </c>
      <c r="X185" s="567"/>
      <c r="Y185" s="567"/>
      <c r="Z185" s="567"/>
      <c r="AA185" s="567"/>
      <c r="AB185" s="567"/>
      <c r="AC185" s="567"/>
      <c r="AD185" s="567"/>
      <c r="AE185" s="567"/>
      <c r="AF185" s="567"/>
      <c r="AG185" s="567"/>
      <c r="AH185" s="567"/>
      <c r="AI185" s="512"/>
      <c r="AJ185" s="518" t="str">
        <f>UPPER(CONCATENATE(Mercado!M30,", ",Mercado!N30))</f>
        <v>GPM BIENES RAICES,  33 1305 0083</v>
      </c>
      <c r="AK185" s="255"/>
      <c r="AL185" s="255"/>
      <c r="AM185" s="253"/>
      <c r="AN185" s="1957"/>
      <c r="AO185" s="2171"/>
      <c r="AP185" s="2172" t="s">
        <v>238</v>
      </c>
      <c r="AQ185" s="2172" t="s">
        <v>239</v>
      </c>
      <c r="AR185" s="2172" t="s">
        <v>240</v>
      </c>
      <c r="AS185" s="2173" t="s">
        <v>239</v>
      </c>
      <c r="AT185" s="2171"/>
      <c r="AU185" s="2172" t="s">
        <v>238</v>
      </c>
      <c r="AV185" s="2172" t="s">
        <v>239</v>
      </c>
      <c r="AW185" s="2172"/>
      <c r="AX185" s="2172" t="s">
        <v>240</v>
      </c>
      <c r="AY185" s="2173" t="s">
        <v>239</v>
      </c>
      <c r="AZ185" s="1957"/>
      <c r="BA185" s="1957"/>
      <c r="BB185" s="1957"/>
    </row>
    <row r="186" ht="45.0" customHeight="1">
      <c r="A186" s="523">
        <v>2.0</v>
      </c>
      <c r="B186" s="524"/>
      <c r="C186" s="1690" t="str">
        <f t="shared" ref="C186:C189" si="31">+C185</f>
        <v>Casa Habitación</v>
      </c>
      <c r="D186" s="582"/>
      <c r="E186" s="582"/>
      <c r="F186" s="582"/>
      <c r="G186" s="524"/>
      <c r="H186" s="1691" t="str">
        <f>UPPER(Mercado!F31)</f>
        <v>PLATÓN S/N</v>
      </c>
      <c r="I186" s="582"/>
      <c r="J186" s="582"/>
      <c r="K186" s="582"/>
      <c r="L186" s="582"/>
      <c r="M186" s="582"/>
      <c r="N186" s="524"/>
      <c r="O186" s="1692" t="str">
        <f>UPPER(Mercado!E31)</f>
        <v>INDEPENDENCIA</v>
      </c>
      <c r="P186" s="582"/>
      <c r="Q186" s="582"/>
      <c r="R186" s="582"/>
      <c r="S186" s="582"/>
      <c r="T186" s="524"/>
      <c r="U186" s="2312">
        <f>+Mercado!L31</f>
        <v>30</v>
      </c>
      <c r="V186" s="524"/>
      <c r="W186" s="1685" t="str">
        <f>PROPER(Mercado!G31)</f>
        <v>3 Recámaras 2 1/2 Baños 3 Cocheras Terraza Al Ingreso De La Casa 1 Área De Lavado Local Comercial Al Frente De 35.00 Mts Con Medio Baño.</v>
      </c>
      <c r="X186" s="582"/>
      <c r="Y186" s="582"/>
      <c r="Z186" s="582"/>
      <c r="AA186" s="582"/>
      <c r="AB186" s="582"/>
      <c r="AC186" s="582"/>
      <c r="AD186" s="582"/>
      <c r="AE186" s="582"/>
      <c r="AF186" s="582"/>
      <c r="AG186" s="582"/>
      <c r="AH186" s="582"/>
      <c r="AI186" s="524"/>
      <c r="AJ186" s="2313" t="str">
        <f>UPPER(CONCATENATE(Mercado!M31,", ",Mercado!N31))</f>
        <v>IMPACTO INMOBILIARIA, 33 3485 2244</v>
      </c>
      <c r="AK186" s="582"/>
      <c r="AL186" s="582"/>
      <c r="AM186" s="524"/>
      <c r="AN186" s="1957"/>
      <c r="AO186" s="2174" t="s">
        <v>170</v>
      </c>
      <c r="AP186" s="2175">
        <f>+AC108</f>
        <v>10500</v>
      </c>
      <c r="AQ186" s="2176">
        <f t="shared" ref="AQ186:AQ188" si="32">+AP186/$AP$188</f>
        <v>0.528641015</v>
      </c>
      <c r="AR186" s="2175">
        <f>+AC108</f>
        <v>10500</v>
      </c>
      <c r="AS186" s="2177">
        <f t="shared" ref="AS186:AS188" si="33">+AR186/$AR$188</f>
        <v>0.3201870784</v>
      </c>
      <c r="AT186" s="2174" t="s">
        <v>241</v>
      </c>
      <c r="AU186" s="2175">
        <f>+AJ111</f>
        <v>965685</v>
      </c>
      <c r="AV186" s="2176">
        <f t="shared" ref="AV186:AV189" si="34">+AU186/$AU$191</f>
        <v>0.5359931894</v>
      </c>
      <c r="AW186" s="2174" t="s">
        <v>241</v>
      </c>
      <c r="AX186" s="2175">
        <f>+AU186</f>
        <v>965685</v>
      </c>
      <c r="AY186" s="2177">
        <f t="shared" ref="AY186:AY188" si="35">+AX186/$AX$191</f>
        <v>0.396868</v>
      </c>
      <c r="AZ186" s="1957"/>
      <c r="BA186" s="1957"/>
      <c r="BB186" s="1957"/>
    </row>
    <row r="187" ht="45.0" customHeight="1">
      <c r="A187" s="523">
        <v>3.0</v>
      </c>
      <c r="B187" s="524"/>
      <c r="C187" s="1690" t="str">
        <f t="shared" si="31"/>
        <v>Casa Habitación</v>
      </c>
      <c r="D187" s="582"/>
      <c r="E187" s="582"/>
      <c r="F187" s="582"/>
      <c r="G187" s="524"/>
      <c r="H187" s="1691" t="str">
        <f>UPPER(Mercado!F32)</f>
        <v>MONUMENTAL S/N</v>
      </c>
      <c r="I187" s="582"/>
      <c r="J187" s="582"/>
      <c r="K187" s="582"/>
      <c r="L187" s="582"/>
      <c r="M187" s="582"/>
      <c r="N187" s="524"/>
      <c r="O187" s="1692" t="str">
        <f>UPPER(Mercado!E32)</f>
        <v>MONUMENTAL</v>
      </c>
      <c r="P187" s="582"/>
      <c r="Q187" s="582"/>
      <c r="R187" s="582"/>
      <c r="S187" s="582"/>
      <c r="T187" s="524"/>
      <c r="U187" s="2312">
        <f>+Mercado!L32</f>
        <v>6</v>
      </c>
      <c r="V187" s="524"/>
      <c r="W187" s="1685" t="str">
        <f>PROPER(Mercado!G32)</f>
        <v>Cochera Un Auto, Jardín Exterior, Sala Comedor, Cocina, Patio De Servicio, Pasillo Distribuidor, Dos Recámara Secundarias Cada Una Con Su Clóset Que Comparten Un Baño Completo Y Otra Principal Con Baño Completo, Jardín Interior.</v>
      </c>
      <c r="X187" s="582"/>
      <c r="Y187" s="582"/>
      <c r="Z187" s="582"/>
      <c r="AA187" s="582"/>
      <c r="AB187" s="582"/>
      <c r="AC187" s="582"/>
      <c r="AD187" s="582"/>
      <c r="AE187" s="582"/>
      <c r="AF187" s="582"/>
      <c r="AG187" s="582"/>
      <c r="AH187" s="582"/>
      <c r="AI187" s="524"/>
      <c r="AJ187" s="2313" t="str">
        <f>UPPER(CONCATENATE(Mercado!M32,", ",Mercado!N32))</f>
        <v>ENF COMERCIALIZADORA, 5664068640</v>
      </c>
      <c r="AK187" s="582"/>
      <c r="AL187" s="582"/>
      <c r="AM187" s="524"/>
      <c r="AN187" s="1957"/>
      <c r="AO187" s="2174" t="s">
        <v>242</v>
      </c>
      <c r="AP187" s="2178">
        <f>+AC115</f>
        <v>9362.25</v>
      </c>
      <c r="AQ187" s="2176">
        <f t="shared" si="32"/>
        <v>0.471358985</v>
      </c>
      <c r="AR187" s="2179">
        <f>+AL209-AR186</f>
        <v>22293.32836</v>
      </c>
      <c r="AS187" s="2177">
        <f t="shared" si="33"/>
        <v>0.6798129216</v>
      </c>
      <c r="AT187" s="2174" t="s">
        <v>243</v>
      </c>
      <c r="AU187" s="2178">
        <f>AJ123</f>
        <v>835989.012</v>
      </c>
      <c r="AV187" s="2176">
        <f t="shared" si="34"/>
        <v>0.4640068106</v>
      </c>
      <c r="AW187" s="2174" t="s">
        <v>243</v>
      </c>
      <c r="AX187" s="2179">
        <f>+AJ215-AX186</f>
        <v>1467579.964</v>
      </c>
      <c r="AY187" s="2177">
        <f t="shared" si="35"/>
        <v>0.603132</v>
      </c>
      <c r="AZ187" s="1957"/>
      <c r="BA187" s="1957"/>
      <c r="BB187" s="1957"/>
    </row>
    <row r="188" ht="45.0" customHeight="1">
      <c r="A188" s="523">
        <v>4.0</v>
      </c>
      <c r="B188" s="524"/>
      <c r="C188" s="1690" t="str">
        <f t="shared" si="31"/>
        <v>Casa Habitación</v>
      </c>
      <c r="D188" s="582"/>
      <c r="E188" s="582"/>
      <c r="F188" s="582"/>
      <c r="G188" s="524"/>
      <c r="H188" s="1691" t="str">
        <f>UPPER(Mercado!F33)</f>
        <v>AVENIDA DE LOS MAESTROS 576</v>
      </c>
      <c r="I188" s="582"/>
      <c r="J188" s="582"/>
      <c r="K188" s="582"/>
      <c r="L188" s="582"/>
      <c r="M188" s="582"/>
      <c r="N188" s="524"/>
      <c r="O188" s="2314" t="str">
        <f>UPPER(Mercado!E33)</f>
        <v>ALCALDE BARRANQUITAS</v>
      </c>
      <c r="P188" s="664"/>
      <c r="Q188" s="664"/>
      <c r="R188" s="664"/>
      <c r="S188" s="664"/>
      <c r="T188" s="665"/>
      <c r="U188" s="2312">
        <f>+Mercado!L33</f>
        <v>40</v>
      </c>
      <c r="V188" s="524"/>
      <c r="W188" s="1685" t="str">
        <f>PROPER(Mercado!G33)</f>
        <v>4 Recámaras, 2 Baños Uso De Suelo Mixto, Comercial Y Habitacional, Cuarto De Servicio Con Baño, Área De Lavandería</v>
      </c>
      <c r="X188" s="582"/>
      <c r="Y188" s="582"/>
      <c r="Z188" s="582"/>
      <c r="AA188" s="582"/>
      <c r="AB188" s="582"/>
      <c r="AC188" s="582"/>
      <c r="AD188" s="582"/>
      <c r="AE188" s="582"/>
      <c r="AF188" s="582"/>
      <c r="AG188" s="582"/>
      <c r="AH188" s="582"/>
      <c r="AI188" s="524"/>
      <c r="AJ188" s="2313" t="str">
        <f>UPPER(CONCATENATE(Mercado!M33,", ",Mercado!N33))</f>
        <v>IAD INMOBILIARIA, 5513289530</v>
      </c>
      <c r="AK188" s="582"/>
      <c r="AL188" s="582"/>
      <c r="AM188" s="524"/>
      <c r="AN188" s="1957"/>
      <c r="AO188" s="2180" t="s">
        <v>244</v>
      </c>
      <c r="AP188" s="2181">
        <f>SUM(AP186:AP187)</f>
        <v>19862.25</v>
      </c>
      <c r="AQ188" s="2182">
        <f t="shared" si="32"/>
        <v>1</v>
      </c>
      <c r="AR188" s="2183">
        <f>SUM(AR186:AR187)</f>
        <v>32793.32836</v>
      </c>
      <c r="AS188" s="2184">
        <f t="shared" si="33"/>
        <v>1</v>
      </c>
      <c r="AT188" s="2185" t="s">
        <v>245</v>
      </c>
      <c r="AU188" s="2175">
        <f>AJ135</f>
        <v>0</v>
      </c>
      <c r="AV188" s="2186">
        <f t="shared" si="34"/>
        <v>0</v>
      </c>
      <c r="AW188" s="2187"/>
      <c r="AX188" s="1471"/>
      <c r="AY188" s="2177">
        <f t="shared" si="35"/>
        <v>0</v>
      </c>
      <c r="AZ188" s="1957"/>
      <c r="BA188" s="1957"/>
      <c r="BB188" s="1957"/>
    </row>
    <row r="189" ht="45.0" customHeight="1">
      <c r="A189" s="539">
        <v>5.0</v>
      </c>
      <c r="B189" s="261"/>
      <c r="C189" s="1699" t="str">
        <f t="shared" si="31"/>
        <v>Casa Habitación</v>
      </c>
      <c r="D189" s="1700"/>
      <c r="E189" s="1700"/>
      <c r="F189" s="1700"/>
      <c r="G189" s="745"/>
      <c r="H189" s="1701" t="str">
        <f>UPPER(Mercado!F34)</f>
        <v> LOS ALPES 1548</v>
      </c>
      <c r="I189" s="1700"/>
      <c r="J189" s="1700"/>
      <c r="K189" s="1700"/>
      <c r="L189" s="1700"/>
      <c r="M189" s="1700"/>
      <c r="N189" s="745"/>
      <c r="O189" s="1937" t="str">
        <f>UPPER(Mercado!E34)</f>
        <v>INDEPENDENCIA ORIENTE</v>
      </c>
      <c r="P189" s="251"/>
      <c r="Q189" s="251"/>
      <c r="R189" s="251"/>
      <c r="S189" s="251"/>
      <c r="T189" s="261"/>
      <c r="U189" s="2315">
        <f>+Mercado!L34</f>
        <v>40</v>
      </c>
      <c r="V189" s="261"/>
      <c r="W189" s="1704" t="str">
        <f>PROPER(Mercado!G34)</f>
        <v>Sala Y Comedor Cocina Integral 5 Recámaras, 2 Baños Completos, Jardín Lateral, Espacio Para 1 Auto</v>
      </c>
      <c r="X189" s="1700"/>
      <c r="Y189" s="1700"/>
      <c r="Z189" s="1700"/>
      <c r="AA189" s="1700"/>
      <c r="AB189" s="1700"/>
      <c r="AC189" s="1700"/>
      <c r="AD189" s="1700"/>
      <c r="AE189" s="1700"/>
      <c r="AF189" s="1700"/>
      <c r="AG189" s="1700"/>
      <c r="AH189" s="1700"/>
      <c r="AI189" s="745"/>
      <c r="AJ189" s="1705" t="str">
        <f>UPPER(CONCATENATE(Mercado!M34,", ",Mercado!N34))</f>
        <v>CASA ADMINISTRACIONES, 33 3040 8700</v>
      </c>
      <c r="AK189" s="1700"/>
      <c r="AL189" s="1700"/>
      <c r="AM189" s="745"/>
      <c r="AN189" s="1957"/>
      <c r="AO189" s="1957"/>
      <c r="AP189" s="1957"/>
      <c r="AQ189" s="1957"/>
      <c r="AR189" s="1957"/>
      <c r="AS189" s="1957"/>
      <c r="AT189" s="2188" t="s">
        <v>740</v>
      </c>
      <c r="AU189" s="2189">
        <f>AJ157</f>
        <v>8472.6096</v>
      </c>
      <c r="AV189" s="2186">
        <f t="shared" si="34"/>
        <v>0.004702631854</v>
      </c>
      <c r="AW189" s="1957"/>
      <c r="AX189" s="1957"/>
      <c r="AY189" s="1957"/>
      <c r="AZ189" s="1957"/>
      <c r="BA189" s="1957"/>
      <c r="BB189" s="1957"/>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7"/>
      <c r="AO190" s="1957"/>
      <c r="AP190" s="1957"/>
      <c r="AQ190" s="1957"/>
      <c r="AR190" s="1957"/>
      <c r="AS190" s="1957"/>
      <c r="AT190" s="1957"/>
      <c r="AU190" s="1957"/>
      <c r="AV190" s="1957"/>
      <c r="AW190" s="1957"/>
      <c r="AX190" s="1957"/>
      <c r="AY190" s="1957"/>
      <c r="AZ190" s="1957"/>
      <c r="BA190" s="1957"/>
      <c r="BB190" s="1957"/>
    </row>
    <row r="191" ht="12.75" customHeight="1">
      <c r="A191" s="552" t="s">
        <v>246</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7"/>
      <c r="AO191" s="1957"/>
      <c r="AP191" s="1957"/>
      <c r="AQ191" s="1957"/>
      <c r="AR191" s="1957"/>
      <c r="AS191" s="1957"/>
      <c r="AT191" s="2180" t="s">
        <v>244</v>
      </c>
      <c r="AU191" s="2181">
        <f>SUM(AU186:AU187)</f>
        <v>1801674.012</v>
      </c>
      <c r="AV191" s="2182">
        <f>+AU191/$AU$191</f>
        <v>1</v>
      </c>
      <c r="AW191" s="2182"/>
      <c r="AX191" s="2183">
        <f>SUM(AX186:AX187)</f>
        <v>2433264.964</v>
      </c>
      <c r="AY191" s="2184">
        <f>+AX191/$AX$191</f>
        <v>1</v>
      </c>
      <c r="AZ191" s="1957"/>
      <c r="BA191" s="1957"/>
      <c r="BB191" s="1957"/>
    </row>
    <row r="192" ht="12.75" customHeight="1">
      <c r="A192" s="1333"/>
      <c r="B192" s="86"/>
      <c r="C192" s="1354" t="s">
        <v>247</v>
      </c>
      <c r="D192" s="85"/>
      <c r="E192" s="86"/>
      <c r="F192" s="1354" t="s">
        <v>248</v>
      </c>
      <c r="G192" s="85"/>
      <c r="H192" s="86"/>
      <c r="I192" s="558" t="s">
        <v>249</v>
      </c>
      <c r="J192" s="85"/>
      <c r="K192" s="85"/>
      <c r="L192" s="86"/>
      <c r="M192" s="558" t="s">
        <v>250</v>
      </c>
      <c r="N192" s="85"/>
      <c r="O192" s="86"/>
      <c r="P192" s="1354" t="s">
        <v>251</v>
      </c>
      <c r="Q192" s="86"/>
      <c r="R192" s="1354" t="s">
        <v>252</v>
      </c>
      <c r="S192" s="85"/>
      <c r="T192" s="86"/>
      <c r="U192" s="2190"/>
      <c r="V192" s="2191"/>
      <c r="W192" s="2192" t="s">
        <v>253</v>
      </c>
      <c r="X192" s="85"/>
      <c r="Y192" s="86"/>
      <c r="Z192" s="2192" t="s">
        <v>254</v>
      </c>
      <c r="AA192" s="85"/>
      <c r="AB192" s="85"/>
      <c r="AC192" s="86"/>
      <c r="AD192" s="561" t="s">
        <v>255</v>
      </c>
      <c r="AE192" s="85"/>
      <c r="AF192" s="86"/>
      <c r="AG192" s="562" t="s">
        <v>256</v>
      </c>
      <c r="AH192" s="86"/>
      <c r="AI192" s="557" t="s">
        <v>257</v>
      </c>
      <c r="AJ192" s="85"/>
      <c r="AK192" s="86"/>
      <c r="AL192" s="558" t="s">
        <v>258</v>
      </c>
      <c r="AM192" s="86"/>
      <c r="AN192" s="1957"/>
      <c r="AO192" s="1957"/>
      <c r="AP192" s="1957"/>
      <c r="AQ192" s="1957"/>
      <c r="AR192" s="1957"/>
      <c r="AS192" s="1957"/>
      <c r="AT192" s="1957"/>
      <c r="AU192" s="1957"/>
      <c r="AV192" s="1957"/>
      <c r="AW192" s="1957"/>
      <c r="AX192" s="1957"/>
      <c r="AY192" s="1957"/>
      <c r="AZ192" s="1957"/>
      <c r="BA192" s="1957"/>
      <c r="BB192" s="1957"/>
    </row>
    <row r="193" ht="12.75" customHeight="1">
      <c r="A193" s="1334">
        <v>1.0</v>
      </c>
      <c r="B193" s="512"/>
      <c r="C193" s="2193">
        <f>Mercado!H30</f>
        <v>117</v>
      </c>
      <c r="E193" s="365"/>
      <c r="F193" s="2194">
        <f>Mercado!I30</f>
        <v>71</v>
      </c>
      <c r="G193" s="664"/>
      <c r="H193" s="2195"/>
      <c r="I193" s="2194">
        <f>Mercado!J30</f>
        <v>2700000</v>
      </c>
      <c r="J193" s="664"/>
      <c r="K193" s="664"/>
      <c r="L193" s="665"/>
      <c r="M193" s="2196">
        <f t="shared" ref="M193:M197" si="36">I193/F193</f>
        <v>38028.16901</v>
      </c>
      <c r="N193" s="567"/>
      <c r="O193" s="512"/>
      <c r="P193" s="2197">
        <f t="shared" ref="P193:P197" si="37">+F193/C193</f>
        <v>0.6068376068</v>
      </c>
      <c r="Q193" s="253"/>
      <c r="R193" s="2197">
        <f>'OPI Constr'!K123/'OPI Constr'!C111</f>
        <v>0.8067848211</v>
      </c>
      <c r="S193" s="255"/>
      <c r="T193" s="253"/>
      <c r="U193" s="2198"/>
      <c r="V193" s="2199"/>
      <c r="W193" s="2200">
        <f t="shared" ref="W193:W197" si="38">+F193/R193</f>
        <v>88.00363881</v>
      </c>
      <c r="X193" s="255"/>
      <c r="Y193" s="253"/>
      <c r="Z193" s="2200">
        <f t="shared" ref="Z193:Z197" si="39">+W193-C193</f>
        <v>-28.99636119</v>
      </c>
      <c r="AA193" s="255"/>
      <c r="AB193" s="255"/>
      <c r="AC193" s="253"/>
      <c r="AD193" s="2201">
        <f>+G108</f>
        <v>10500</v>
      </c>
      <c r="AE193" s="255"/>
      <c r="AF193" s="253"/>
      <c r="AG193" s="2202">
        <f t="shared" ref="AG193:AG197" si="40">+Z193*AD193</f>
        <v>-304461.7925</v>
      </c>
      <c r="AH193" s="253"/>
      <c r="AI193" s="2203">
        <f t="shared" ref="AI193:AI197" si="41">+I193+AG193</f>
        <v>2395538.208</v>
      </c>
      <c r="AJ193" s="255"/>
      <c r="AK193" s="253"/>
      <c r="AL193" s="2204">
        <f t="shared" ref="AL193:AL197" si="42">+AI193/F193</f>
        <v>33739.97475</v>
      </c>
      <c r="AM193" s="263"/>
      <c r="AN193" s="1957"/>
      <c r="AO193" s="1957"/>
      <c r="AP193" s="1957"/>
      <c r="AQ193" s="1963"/>
      <c r="AU193" s="1957"/>
      <c r="AV193" s="1957"/>
      <c r="AW193" s="1957"/>
      <c r="AX193" s="1957"/>
      <c r="AY193" s="1957"/>
      <c r="AZ193" s="1957"/>
      <c r="BA193" s="1957"/>
      <c r="BB193" s="1957"/>
    </row>
    <row r="194" ht="12.75" customHeight="1">
      <c r="A194" s="1338">
        <v>2.0</v>
      </c>
      <c r="B194" s="524"/>
      <c r="C194" s="2205">
        <f>Mercado!H31</f>
        <v>276</v>
      </c>
      <c r="D194" s="582"/>
      <c r="E194" s="583"/>
      <c r="F194" s="2205">
        <f>Mercado!I31</f>
        <v>193</v>
      </c>
      <c r="G194" s="582"/>
      <c r="H194" s="583"/>
      <c r="I194" s="2205">
        <f>Mercado!J31</f>
        <v>6600000</v>
      </c>
      <c r="J194" s="582"/>
      <c r="K194" s="582"/>
      <c r="L194" s="524"/>
      <c r="M194" s="2206">
        <f t="shared" si="36"/>
        <v>34196.89119</v>
      </c>
      <c r="N194" s="582"/>
      <c r="O194" s="524"/>
      <c r="P194" s="2207">
        <f t="shared" si="37"/>
        <v>0.6992753623</v>
      </c>
      <c r="Q194" s="524"/>
      <c r="R194" s="2207">
        <f t="shared" ref="R194:R197" si="43">R193</f>
        <v>0.8067848211</v>
      </c>
      <c r="S194" s="582"/>
      <c r="T194" s="524"/>
      <c r="U194" s="2198"/>
      <c r="V194" s="2199"/>
      <c r="W194" s="2208">
        <f t="shared" si="38"/>
        <v>239.221159</v>
      </c>
      <c r="X194" s="582"/>
      <c r="Y194" s="524"/>
      <c r="Z194" s="2208">
        <f t="shared" si="39"/>
        <v>-36.77884097</v>
      </c>
      <c r="AA194" s="582"/>
      <c r="AB194" s="582"/>
      <c r="AC194" s="524"/>
      <c r="AD194" s="2209">
        <f t="shared" ref="AD194:AD197" si="44">AD193</f>
        <v>10500</v>
      </c>
      <c r="AE194" s="582"/>
      <c r="AF194" s="524"/>
      <c r="AG194" s="2210">
        <f t="shared" si="40"/>
        <v>-386177.8302</v>
      </c>
      <c r="AH194" s="524"/>
      <c r="AI194" s="2211">
        <f t="shared" si="41"/>
        <v>6213822.17</v>
      </c>
      <c r="AJ194" s="582"/>
      <c r="AK194" s="524"/>
      <c r="AL194" s="2212">
        <f t="shared" si="42"/>
        <v>32195.96979</v>
      </c>
      <c r="AM194" s="524"/>
      <c r="AN194" s="1957"/>
      <c r="AO194" s="1957"/>
      <c r="AP194" s="1957"/>
      <c r="AQ194" s="1957"/>
      <c r="AR194" s="1957"/>
      <c r="AS194" s="1957"/>
      <c r="AT194" s="1957"/>
      <c r="AU194" s="1957"/>
      <c r="AV194" s="1957"/>
      <c r="AW194" s="1957"/>
      <c r="AX194" s="1957"/>
      <c r="AY194" s="1957"/>
      <c r="AZ194" s="1957"/>
      <c r="BA194" s="1957"/>
      <c r="BB194" s="1957"/>
    </row>
    <row r="195" ht="12.75" customHeight="1">
      <c r="A195" s="1338">
        <v>3.0</v>
      </c>
      <c r="B195" s="524"/>
      <c r="C195" s="2205">
        <f>Mercado!H32</f>
        <v>140</v>
      </c>
      <c r="D195" s="582"/>
      <c r="E195" s="583"/>
      <c r="F195" s="2205">
        <f>Mercado!I32</f>
        <v>103</v>
      </c>
      <c r="G195" s="582"/>
      <c r="H195" s="583"/>
      <c r="I195" s="2205">
        <f>Mercado!J32</f>
        <v>3790000</v>
      </c>
      <c r="J195" s="582"/>
      <c r="K195" s="582"/>
      <c r="L195" s="524"/>
      <c r="M195" s="2206">
        <f t="shared" si="36"/>
        <v>36796.1165</v>
      </c>
      <c r="N195" s="582"/>
      <c r="O195" s="524"/>
      <c r="P195" s="2207">
        <f t="shared" si="37"/>
        <v>0.7357142857</v>
      </c>
      <c r="Q195" s="524"/>
      <c r="R195" s="2207">
        <f t="shared" si="43"/>
        <v>0.8067848211</v>
      </c>
      <c r="S195" s="582"/>
      <c r="T195" s="524"/>
      <c r="U195" s="2198"/>
      <c r="V195" s="2199"/>
      <c r="W195" s="2208">
        <f t="shared" si="38"/>
        <v>127.6672507</v>
      </c>
      <c r="X195" s="582"/>
      <c r="Y195" s="524"/>
      <c r="Z195" s="2208">
        <f t="shared" si="39"/>
        <v>-12.33274933</v>
      </c>
      <c r="AA195" s="582"/>
      <c r="AB195" s="582"/>
      <c r="AC195" s="524"/>
      <c r="AD195" s="2209">
        <f t="shared" si="44"/>
        <v>10500</v>
      </c>
      <c r="AE195" s="582"/>
      <c r="AF195" s="524"/>
      <c r="AG195" s="2210">
        <f t="shared" si="40"/>
        <v>-129493.8679</v>
      </c>
      <c r="AH195" s="524"/>
      <c r="AI195" s="2211">
        <f t="shared" si="41"/>
        <v>3660506.132</v>
      </c>
      <c r="AJ195" s="582"/>
      <c r="AK195" s="524"/>
      <c r="AL195" s="2212">
        <f t="shared" si="42"/>
        <v>35538.89449</v>
      </c>
      <c r="AM195" s="524"/>
      <c r="AN195" s="1957"/>
      <c r="AO195" s="1957"/>
      <c r="AP195" s="1957"/>
      <c r="AQ195" s="1957"/>
      <c r="AR195" s="1471"/>
      <c r="AS195" s="2213"/>
      <c r="AT195" s="2213"/>
      <c r="AU195" s="2213"/>
      <c r="AV195" s="2213"/>
      <c r="AW195" s="2213"/>
      <c r="AX195" s="2213"/>
      <c r="AY195" s="2213"/>
      <c r="AZ195" s="2213"/>
      <c r="BA195" s="2213"/>
      <c r="BB195" s="1471"/>
    </row>
    <row r="196" ht="15.0" customHeight="1">
      <c r="A196" s="1338">
        <v>4.0</v>
      </c>
      <c r="B196" s="524"/>
      <c r="C196" s="2205">
        <f>Mercado!H33</f>
        <v>314</v>
      </c>
      <c r="D196" s="582"/>
      <c r="E196" s="583"/>
      <c r="F196" s="2205">
        <f>Mercado!I33</f>
        <v>201</v>
      </c>
      <c r="G196" s="582"/>
      <c r="H196" s="583"/>
      <c r="I196" s="2205">
        <f>Mercado!J33</f>
        <v>7500000</v>
      </c>
      <c r="J196" s="582"/>
      <c r="K196" s="582"/>
      <c r="L196" s="524"/>
      <c r="M196" s="2206">
        <f t="shared" si="36"/>
        <v>37313.43284</v>
      </c>
      <c r="N196" s="582"/>
      <c r="O196" s="524"/>
      <c r="P196" s="2207">
        <f t="shared" si="37"/>
        <v>0.6401273885</v>
      </c>
      <c r="Q196" s="524"/>
      <c r="R196" s="2207">
        <f t="shared" si="43"/>
        <v>0.8067848211</v>
      </c>
      <c r="S196" s="582"/>
      <c r="T196" s="524"/>
      <c r="U196" s="2198"/>
      <c r="V196" s="2199"/>
      <c r="W196" s="2208">
        <f t="shared" si="38"/>
        <v>249.137062</v>
      </c>
      <c r="X196" s="582"/>
      <c r="Y196" s="524"/>
      <c r="Z196" s="2208">
        <f t="shared" si="39"/>
        <v>-64.86293801</v>
      </c>
      <c r="AA196" s="582"/>
      <c r="AB196" s="582"/>
      <c r="AC196" s="524"/>
      <c r="AD196" s="2209">
        <f t="shared" si="44"/>
        <v>10500</v>
      </c>
      <c r="AE196" s="582"/>
      <c r="AF196" s="524"/>
      <c r="AG196" s="2210">
        <f t="shared" si="40"/>
        <v>-681060.8491</v>
      </c>
      <c r="AH196" s="524"/>
      <c r="AI196" s="2211">
        <f t="shared" si="41"/>
        <v>6818939.151</v>
      </c>
      <c r="AJ196" s="582"/>
      <c r="AK196" s="524"/>
      <c r="AL196" s="2212">
        <f t="shared" si="42"/>
        <v>33925.0704</v>
      </c>
      <c r="AM196" s="524"/>
      <c r="AN196" s="1957"/>
      <c r="AO196" s="1957"/>
      <c r="AP196" s="1957"/>
      <c r="AQ196" s="1957"/>
      <c r="AR196" s="1471"/>
      <c r="AS196" s="2214"/>
      <c r="AT196" s="2214"/>
      <c r="AU196" s="2214"/>
      <c r="AV196" s="2214"/>
      <c r="AW196" s="2214"/>
      <c r="AX196" s="2214"/>
      <c r="AY196" s="2214"/>
      <c r="AZ196" s="2214"/>
      <c r="BA196" s="2214"/>
      <c r="BB196" s="1471"/>
    </row>
    <row r="197" ht="15.0" customHeight="1">
      <c r="A197" s="2215">
        <v>5.0</v>
      </c>
      <c r="B197" s="596"/>
      <c r="C197" s="2216">
        <f>Mercado!H34</f>
        <v>175</v>
      </c>
      <c r="D197" s="604"/>
      <c r="E197" s="1716"/>
      <c r="F197" s="2216">
        <f>Mercado!I34</f>
        <v>158</v>
      </c>
      <c r="G197" s="604"/>
      <c r="H197" s="1716"/>
      <c r="I197" s="2216">
        <f>Mercado!J34</f>
        <v>4200000</v>
      </c>
      <c r="J197" s="604"/>
      <c r="K197" s="604"/>
      <c r="L197" s="596"/>
      <c r="M197" s="2316">
        <f t="shared" si="36"/>
        <v>26582.27848</v>
      </c>
      <c r="N197" s="598"/>
      <c r="O197" s="602"/>
      <c r="P197" s="2224">
        <f t="shared" si="37"/>
        <v>0.9028571429</v>
      </c>
      <c r="Q197" s="596"/>
      <c r="R197" s="2224">
        <f t="shared" si="43"/>
        <v>0.8067848211</v>
      </c>
      <c r="S197" s="604"/>
      <c r="T197" s="596"/>
      <c r="U197" s="2225"/>
      <c r="V197" s="2226"/>
      <c r="W197" s="2227">
        <f t="shared" si="38"/>
        <v>195.8390836</v>
      </c>
      <c r="X197" s="604"/>
      <c r="Y197" s="596"/>
      <c r="Z197" s="2227">
        <f t="shared" si="39"/>
        <v>20.83908356</v>
      </c>
      <c r="AA197" s="604"/>
      <c r="AB197" s="604"/>
      <c r="AC197" s="596"/>
      <c r="AD197" s="2228">
        <f t="shared" si="44"/>
        <v>10500</v>
      </c>
      <c r="AE197" s="604"/>
      <c r="AF197" s="596"/>
      <c r="AG197" s="2229">
        <f t="shared" si="40"/>
        <v>218810.3774</v>
      </c>
      <c r="AH197" s="596"/>
      <c r="AI197" s="2230">
        <f t="shared" si="41"/>
        <v>4418810.377</v>
      </c>
      <c r="AJ197" s="604"/>
      <c r="AK197" s="596"/>
      <c r="AL197" s="2231">
        <f t="shared" si="42"/>
        <v>27967.15429</v>
      </c>
      <c r="AM197" s="596"/>
      <c r="AN197" s="1957"/>
      <c r="AO197" s="1957"/>
      <c r="AP197" s="1957"/>
      <c r="AQ197" s="1957"/>
      <c r="AR197" s="1957"/>
      <c r="AS197" s="1957"/>
      <c r="AT197" s="1957"/>
      <c r="AU197" s="1957"/>
      <c r="AV197" s="1957"/>
      <c r="AW197" s="1957"/>
      <c r="AX197" s="1957"/>
      <c r="AY197" s="1957"/>
      <c r="AZ197" s="1957"/>
      <c r="BA197" s="1957"/>
      <c r="BB197" s="1957"/>
    </row>
    <row r="198" ht="7.5" customHeight="1">
      <c r="A198" s="613"/>
      <c r="B198" s="367"/>
      <c r="C198" s="614" t="s">
        <v>104</v>
      </c>
      <c r="F198" s="615" t="s">
        <v>104</v>
      </c>
      <c r="I198" s="615"/>
      <c r="M198" s="615"/>
      <c r="N198" s="616"/>
      <c r="P198" s="617"/>
      <c r="R198" s="34"/>
      <c r="U198" s="618"/>
      <c r="V198" s="618"/>
      <c r="W198" s="34"/>
      <c r="Z198" s="34"/>
      <c r="AD198" s="619"/>
      <c r="AG198" s="620"/>
      <c r="AI198" s="621"/>
      <c r="AL198" s="622"/>
      <c r="AN198" s="1471"/>
      <c r="AO198" s="1471"/>
      <c r="AP198" s="1471"/>
      <c r="AQ198" s="1471"/>
      <c r="AR198" s="1471"/>
      <c r="AS198" s="1471"/>
      <c r="AT198" s="1471"/>
      <c r="AU198" s="1471"/>
      <c r="AV198" s="1471"/>
      <c r="AW198" s="1471"/>
      <c r="AX198" s="1471"/>
      <c r="AY198" s="1471"/>
      <c r="AZ198" s="1471"/>
      <c r="BA198" s="1471"/>
      <c r="BB198" s="1471"/>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5"/>
      <c r="L199" s="1326" t="s">
        <v>259</v>
      </c>
      <c r="M199" s="1327">
        <f>AVERAGE(M193:M197)</f>
        <v>34583.37761</v>
      </c>
      <c r="N199" s="482"/>
      <c r="O199" s="483"/>
      <c r="P199" s="1325"/>
      <c r="Q199" s="2232"/>
      <c r="R199" s="2232"/>
      <c r="S199" s="1325"/>
      <c r="T199" s="2232"/>
      <c r="U199" s="2232"/>
      <c r="V199" s="2232"/>
      <c r="W199" s="2232"/>
      <c r="X199" s="1325"/>
      <c r="Y199" s="2232"/>
      <c r="Z199" s="2232"/>
      <c r="AA199" s="1325"/>
      <c r="AB199" s="1325"/>
      <c r="AC199" s="1325"/>
      <c r="AD199" s="1325"/>
      <c r="AE199" s="1325"/>
      <c r="AF199" s="1325"/>
      <c r="AG199" s="1325"/>
      <c r="AH199" s="1320"/>
      <c r="AI199" s="1320"/>
      <c r="AJ199" s="1326" t="s">
        <v>260</v>
      </c>
      <c r="AK199" s="1328"/>
      <c r="AL199" s="1329">
        <f>AVERAGE(AL193:AL197)</f>
        <v>32673.41274</v>
      </c>
      <c r="AM199" s="483"/>
      <c r="AN199" s="1957"/>
      <c r="AO199" s="1957"/>
      <c r="AP199" s="1957"/>
      <c r="AQ199" s="1957"/>
      <c r="AR199" s="1963"/>
      <c r="AT199" s="1957"/>
      <c r="AU199" s="1957"/>
      <c r="AV199" s="1957"/>
      <c r="AW199" s="1957"/>
      <c r="AX199" s="1471" t="s">
        <v>262</v>
      </c>
      <c r="AY199" s="1957"/>
      <c r="AZ199" s="1957"/>
      <c r="BA199" s="1471"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7"/>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1"/>
      <c r="AO200" s="1471"/>
      <c r="AP200" s="1471"/>
      <c r="AQ200" s="1471"/>
      <c r="AR200" s="1963"/>
      <c r="AS200" s="1963"/>
      <c r="AT200" s="1471"/>
      <c r="AU200" s="1471"/>
      <c r="AV200" s="1471"/>
      <c r="AW200" s="1471"/>
      <c r="AX200" s="1471"/>
      <c r="AY200" s="1471"/>
      <c r="AZ200" s="1471"/>
      <c r="BA200" s="1471"/>
      <c r="BB200" s="1471"/>
      <c r="BC200" s="34"/>
      <c r="BD200" s="34"/>
      <c r="BE200" s="34"/>
      <c r="BF200" s="34"/>
      <c r="BG200" s="34"/>
      <c r="BH200" s="34"/>
      <c r="BI200" s="34"/>
      <c r="BJ200" s="34"/>
      <c r="BK200" s="34"/>
      <c r="BL200" s="34"/>
      <c r="BM200" s="34"/>
      <c r="BN200" s="34"/>
      <c r="BO200" s="34"/>
      <c r="BP200" s="34"/>
      <c r="BQ200" s="34"/>
      <c r="BR200" s="34"/>
    </row>
    <row r="201" ht="12.75" customHeight="1">
      <c r="A201" s="632" t="s">
        <v>263</v>
      </c>
      <c r="B201" s="632"/>
      <c r="C201" s="633"/>
      <c r="D201" s="633"/>
      <c r="E201" s="633"/>
      <c r="F201" s="633"/>
      <c r="G201" s="633"/>
      <c r="H201" s="633"/>
      <c r="I201" s="633"/>
      <c r="J201" s="547"/>
      <c r="L201" s="634" t="s">
        <v>264</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7"/>
      <c r="AO201" s="1957"/>
      <c r="AP201" s="1957"/>
      <c r="AQ201" s="1957"/>
      <c r="AR201" s="1957"/>
      <c r="AS201" s="1957"/>
      <c r="AT201" s="1957"/>
      <c r="AU201" s="1957"/>
      <c r="AV201" s="1957"/>
      <c r="AW201" s="2233" t="s">
        <v>265</v>
      </c>
      <c r="AX201" s="2234" t="s">
        <v>266</v>
      </c>
      <c r="AY201" s="2235"/>
      <c r="AZ201" s="1957"/>
      <c r="BA201" s="2234" t="s">
        <v>267</v>
      </c>
      <c r="BB201" s="2235"/>
    </row>
    <row r="202" ht="12.75" customHeight="1">
      <c r="A202" s="1333"/>
      <c r="B202" s="86"/>
      <c r="C202" s="1354" t="s">
        <v>247</v>
      </c>
      <c r="D202" s="85"/>
      <c r="E202" s="86"/>
      <c r="F202" s="1354" t="s">
        <v>248</v>
      </c>
      <c r="G202" s="85"/>
      <c r="H202" s="86"/>
      <c r="I202" s="638" t="s">
        <v>250</v>
      </c>
      <c r="J202" s="85"/>
      <c r="K202" s="86"/>
      <c r="L202" s="639" t="s">
        <v>162</v>
      </c>
      <c r="M202" s="85"/>
      <c r="N202" s="639" t="s">
        <v>163</v>
      </c>
      <c r="O202" s="85"/>
      <c r="P202" s="86"/>
      <c r="Q202" s="639" t="s">
        <v>268</v>
      </c>
      <c r="R202" s="85"/>
      <c r="S202" s="86"/>
      <c r="T202" s="639" t="s">
        <v>166</v>
      </c>
      <c r="U202" s="85"/>
      <c r="V202" s="85"/>
      <c r="W202" s="2236"/>
      <c r="X202" s="2237" t="s">
        <v>129</v>
      </c>
      <c r="Y202" s="639" t="s">
        <v>741</v>
      </c>
      <c r="Z202" s="85"/>
      <c r="AA202" s="86"/>
      <c r="AB202" s="639" t="s">
        <v>180</v>
      </c>
      <c r="AC202" s="85"/>
      <c r="AD202" s="86"/>
      <c r="AE202" s="639" t="s">
        <v>167</v>
      </c>
      <c r="AF202" s="85"/>
      <c r="AG202" s="86"/>
      <c r="AH202" s="639" t="s">
        <v>269</v>
      </c>
      <c r="AI202" s="85"/>
      <c r="AJ202" s="85"/>
      <c r="AK202" s="86"/>
      <c r="AL202" s="638" t="s">
        <v>270</v>
      </c>
      <c r="AM202" s="86"/>
      <c r="AN202" s="1957"/>
      <c r="AO202" s="1957"/>
      <c r="AP202" s="1957"/>
      <c r="AQ202" s="1957"/>
      <c r="AR202" s="1957"/>
      <c r="AS202" s="1957"/>
      <c r="AT202" s="2238" t="s">
        <v>268</v>
      </c>
      <c r="AU202" s="1963" t="s">
        <v>271</v>
      </c>
      <c r="AV202" s="1957"/>
      <c r="AW202" s="2239">
        <f>+A86</f>
        <v>21</v>
      </c>
      <c r="AX202" s="787">
        <f>VLOOKUP($AW$202,'catalogo 2'!$A$143:$C$185,3)/100</f>
        <v>0.9</v>
      </c>
      <c r="AY202" s="2240"/>
      <c r="AZ202" s="1957"/>
      <c r="BA202" s="2241">
        <f>+A86</f>
        <v>21</v>
      </c>
      <c r="BB202" s="2242"/>
    </row>
    <row r="203" ht="12.75" customHeight="1">
      <c r="A203" s="1334">
        <v>1.0</v>
      </c>
      <c r="B203" s="512"/>
      <c r="C203" s="646">
        <f t="shared" ref="C203:C207" si="45">C193</f>
        <v>117</v>
      </c>
      <c r="D203" s="255"/>
      <c r="E203" s="253"/>
      <c r="F203" s="646">
        <f t="shared" ref="F203:F207" si="46">F193</f>
        <v>71</v>
      </c>
      <c r="G203" s="255"/>
      <c r="H203" s="253"/>
      <c r="I203" s="658">
        <f t="shared" ref="I203:I207" si="47">+AL193</f>
        <v>33739.97475</v>
      </c>
      <c r="J203" s="582"/>
      <c r="K203" s="524"/>
      <c r="L203" s="2317">
        <v>0.95</v>
      </c>
      <c r="M203" s="2244"/>
      <c r="N203" s="2243">
        <v>1.0</v>
      </c>
      <c r="O203" s="567"/>
      <c r="P203" s="512"/>
      <c r="Q203" s="649">
        <f t="shared" ref="Q203:Q207" si="48">+AT203</f>
        <v>1.048610508</v>
      </c>
      <c r="R203" s="255"/>
      <c r="S203" s="253"/>
      <c r="T203" s="650">
        <f t="shared" ref="T203:T207" si="49">+AU203</f>
        <v>0.9606755126</v>
      </c>
      <c r="U203" s="567"/>
      <c r="V203" s="567"/>
      <c r="W203" s="2245"/>
      <c r="X203" s="2246">
        <f t="shared" ref="X203:X207" si="50">+$AX$202/AX203</f>
        <v>1.125</v>
      </c>
      <c r="Y203" s="2318">
        <v>1.05</v>
      </c>
      <c r="Z203" s="255"/>
      <c r="AA203" s="253"/>
      <c r="AB203" s="2318">
        <v>1.1</v>
      </c>
      <c r="AC203" s="255"/>
      <c r="AD203" s="253"/>
      <c r="AE203" s="2248">
        <v>0.95</v>
      </c>
      <c r="AF203" s="255"/>
      <c r="AG203" s="253"/>
      <c r="AH203" s="649">
        <f t="shared" ref="AH203:AH207" si="51">ROUND(L203*N203*Q203*T203*X203*Y203*AB203*AE203,2)</f>
        <v>1.18</v>
      </c>
      <c r="AI203" s="255"/>
      <c r="AJ203" s="255"/>
      <c r="AK203" s="253"/>
      <c r="AL203" s="652">
        <f t="shared" ref="AL203:AL207" si="52">+I203*AH203</f>
        <v>39813.17021</v>
      </c>
      <c r="AM203" s="253"/>
      <c r="AN203" s="1957"/>
      <c r="AO203" s="1957"/>
      <c r="AP203" s="1957"/>
      <c r="AQ203" s="2249"/>
      <c r="AR203" s="2249"/>
      <c r="AS203" s="2250">
        <v>6.0</v>
      </c>
      <c r="AT203" s="2251">
        <f>(R193/P193)^(1/$AS$203)</f>
        <v>1.048610508</v>
      </c>
      <c r="AU203" s="2251">
        <f t="shared" ref="AU203:AU207" si="53">($C$111/C193)^(1/$AS$203)</f>
        <v>0.9606755126</v>
      </c>
      <c r="AV203" s="1957"/>
      <c r="AW203" s="1957"/>
      <c r="AX203" s="794">
        <f>VLOOKUP(Mercado!L30,'catalogo 2'!$A$143:$C$185,3)/100</f>
        <v>0.8</v>
      </c>
      <c r="AY203" s="2252"/>
      <c r="AZ203" s="1957"/>
      <c r="BA203" s="2253">
        <f>VLOOKUP(Mercado!L30,'catalogo 2'!$A$2:$C$7,3)/100</f>
        <v>0.75</v>
      </c>
      <c r="BB203" s="2252"/>
    </row>
    <row r="204" ht="12.75" customHeight="1">
      <c r="A204" s="1338">
        <v>2.0</v>
      </c>
      <c r="B204" s="524"/>
      <c r="C204" s="657">
        <f t="shared" si="45"/>
        <v>276</v>
      </c>
      <c r="D204" s="582"/>
      <c r="E204" s="524"/>
      <c r="F204" s="657">
        <f t="shared" si="46"/>
        <v>193</v>
      </c>
      <c r="G204" s="582"/>
      <c r="H204" s="524"/>
      <c r="I204" s="658">
        <f t="shared" si="47"/>
        <v>32195.96979</v>
      </c>
      <c r="J204" s="582"/>
      <c r="K204" s="524"/>
      <c r="L204" s="2254">
        <v>1.0</v>
      </c>
      <c r="M204" s="2255"/>
      <c r="N204" s="2254">
        <v>1.0</v>
      </c>
      <c r="O204" s="582"/>
      <c r="P204" s="524"/>
      <c r="Q204" s="659">
        <f t="shared" si="48"/>
        <v>1.024121732</v>
      </c>
      <c r="R204" s="582"/>
      <c r="S204" s="524"/>
      <c r="T204" s="659">
        <f t="shared" si="49"/>
        <v>0.832637917</v>
      </c>
      <c r="U204" s="582"/>
      <c r="V204" s="582"/>
      <c r="W204" s="2256"/>
      <c r="X204" s="2257">
        <f t="shared" si="50"/>
        <v>1.058823529</v>
      </c>
      <c r="Y204" s="2319">
        <v>1.05</v>
      </c>
      <c r="Z204" s="582"/>
      <c r="AA204" s="524"/>
      <c r="AB204" s="2319">
        <v>1.05</v>
      </c>
      <c r="AC204" s="582"/>
      <c r="AD204" s="524"/>
      <c r="AE204" s="666">
        <f t="shared" ref="AE204:AE207" si="54">+AE203</f>
        <v>0.95</v>
      </c>
      <c r="AF204" s="582"/>
      <c r="AG204" s="524"/>
      <c r="AH204" s="660">
        <f t="shared" si="51"/>
        <v>0.95</v>
      </c>
      <c r="AI204" s="661"/>
      <c r="AJ204" s="661"/>
      <c r="AK204" s="662"/>
      <c r="AL204" s="667">
        <f t="shared" si="52"/>
        <v>30586.1713</v>
      </c>
      <c r="AM204" s="524"/>
      <c r="AN204" s="1957"/>
      <c r="AO204" s="1957"/>
      <c r="AP204" s="1957"/>
      <c r="AQ204" s="1957"/>
      <c r="AR204" s="1957"/>
      <c r="AS204" s="2250">
        <f t="shared" ref="AS204:AS207" si="55">+AS203</f>
        <v>6</v>
      </c>
      <c r="AT204" s="2258">
        <f t="shared" ref="AT204:AT207" si="56">(R194/P194)^(1/AS204)</f>
        <v>1.024121732</v>
      </c>
      <c r="AU204" s="2258">
        <f t="shared" si="53"/>
        <v>0.832637917</v>
      </c>
      <c r="AV204" s="1957"/>
      <c r="AW204" s="1957"/>
      <c r="AX204" s="794">
        <f>VLOOKUP(Mercado!L31,'catalogo 2'!$A$143:$C$185,3)/100</f>
        <v>0.85</v>
      </c>
      <c r="AY204" s="2252"/>
      <c r="AZ204" s="1957"/>
      <c r="BA204" s="2253">
        <f>VLOOKUP(Mercado!L31,'catalogo 2'!$A$2:$C$7,3)/100</f>
        <v>0.8</v>
      </c>
      <c r="BB204" s="2252"/>
    </row>
    <row r="205" ht="12.75" customHeight="1">
      <c r="A205" s="1338">
        <v>3.0</v>
      </c>
      <c r="B205" s="524"/>
      <c r="C205" s="657">
        <f t="shared" si="45"/>
        <v>140</v>
      </c>
      <c r="D205" s="582"/>
      <c r="E205" s="524"/>
      <c r="F205" s="657">
        <f t="shared" si="46"/>
        <v>103</v>
      </c>
      <c r="G205" s="582"/>
      <c r="H205" s="524"/>
      <c r="I205" s="658">
        <f t="shared" si="47"/>
        <v>35538.89449</v>
      </c>
      <c r="J205" s="582"/>
      <c r="K205" s="524"/>
      <c r="L205" s="2254">
        <v>1.0</v>
      </c>
      <c r="M205" s="2255"/>
      <c r="N205" s="2254">
        <v>1.0</v>
      </c>
      <c r="O205" s="582"/>
      <c r="P205" s="524"/>
      <c r="Q205" s="659">
        <f t="shared" si="48"/>
        <v>1.015487905</v>
      </c>
      <c r="R205" s="582"/>
      <c r="S205" s="524"/>
      <c r="T205" s="659">
        <f t="shared" si="49"/>
        <v>0.9323658507</v>
      </c>
      <c r="U205" s="582"/>
      <c r="V205" s="582"/>
      <c r="W205" s="2256"/>
      <c r="X205" s="2257">
        <f t="shared" si="50"/>
        <v>0.9278350515</v>
      </c>
      <c r="Y205" s="2254">
        <v>1.0</v>
      </c>
      <c r="Z205" s="582"/>
      <c r="AA205" s="524"/>
      <c r="AB205" s="2254">
        <v>1.0</v>
      </c>
      <c r="AC205" s="582"/>
      <c r="AD205" s="524"/>
      <c r="AE205" s="666">
        <f t="shared" si="54"/>
        <v>0.95</v>
      </c>
      <c r="AF205" s="582"/>
      <c r="AG205" s="524"/>
      <c r="AH205" s="659">
        <f t="shared" si="51"/>
        <v>0.83</v>
      </c>
      <c r="AI205" s="582"/>
      <c r="AJ205" s="582"/>
      <c r="AK205" s="524"/>
      <c r="AL205" s="667">
        <f t="shared" si="52"/>
        <v>29497.28242</v>
      </c>
      <c r="AM205" s="524"/>
      <c r="AN205" s="1957"/>
      <c r="AO205" s="2320"/>
      <c r="AS205" s="2250">
        <f t="shared" si="55"/>
        <v>6</v>
      </c>
      <c r="AT205" s="2258">
        <f t="shared" si="56"/>
        <v>1.015487905</v>
      </c>
      <c r="AU205" s="2258">
        <f t="shared" si="53"/>
        <v>0.9323658507</v>
      </c>
      <c r="AV205" s="1957"/>
      <c r="AW205" s="1957"/>
      <c r="AX205" s="794">
        <f>VLOOKUP(Mercado!L32,'catalogo 2'!$A$143:$C$185,3)/100</f>
        <v>0.97</v>
      </c>
      <c r="AY205" s="2252"/>
      <c r="AZ205" s="1957"/>
      <c r="BA205" s="2253">
        <f>VLOOKUP(Mercado!L32,'catalogo 2'!$A$2:$C$7,3)/100</f>
        <v>0.95</v>
      </c>
      <c r="BB205" s="2252"/>
    </row>
    <row r="206" ht="12.75" customHeight="1">
      <c r="A206" s="1338">
        <v>4.0</v>
      </c>
      <c r="B206" s="524"/>
      <c r="C206" s="657">
        <f t="shared" si="45"/>
        <v>314</v>
      </c>
      <c r="D206" s="582"/>
      <c r="E206" s="524"/>
      <c r="F206" s="657">
        <f t="shared" si="46"/>
        <v>201</v>
      </c>
      <c r="G206" s="582"/>
      <c r="H206" s="524"/>
      <c r="I206" s="658">
        <f t="shared" si="47"/>
        <v>33925.0704</v>
      </c>
      <c r="J206" s="582"/>
      <c r="K206" s="524"/>
      <c r="L206" s="2319">
        <v>0.95</v>
      </c>
      <c r="M206" s="2255"/>
      <c r="N206" s="2254">
        <v>1.0</v>
      </c>
      <c r="O206" s="582"/>
      <c r="P206" s="524"/>
      <c r="Q206" s="659">
        <f t="shared" si="48"/>
        <v>1.039318246</v>
      </c>
      <c r="R206" s="582"/>
      <c r="S206" s="524"/>
      <c r="T206" s="659">
        <f t="shared" si="49"/>
        <v>0.8149283437</v>
      </c>
      <c r="U206" s="582"/>
      <c r="V206" s="582"/>
      <c r="W206" s="2256"/>
      <c r="X206" s="2257">
        <f t="shared" si="50"/>
        <v>1.125</v>
      </c>
      <c r="Y206" s="2319">
        <v>1.05</v>
      </c>
      <c r="Z206" s="582"/>
      <c r="AA206" s="524"/>
      <c r="AB206" s="2319">
        <v>1.1</v>
      </c>
      <c r="AC206" s="582"/>
      <c r="AD206" s="524"/>
      <c r="AE206" s="666">
        <f t="shared" si="54"/>
        <v>0.95</v>
      </c>
      <c r="AF206" s="582"/>
      <c r="AG206" s="524"/>
      <c r="AH206" s="660">
        <f t="shared" si="51"/>
        <v>0.99</v>
      </c>
      <c r="AI206" s="661"/>
      <c r="AJ206" s="661"/>
      <c r="AK206" s="662"/>
      <c r="AL206" s="667">
        <f t="shared" si="52"/>
        <v>33585.8197</v>
      </c>
      <c r="AM206" s="524"/>
      <c r="AN206" s="1957"/>
      <c r="AO206" s="1963"/>
      <c r="AS206" s="2250">
        <f t="shared" si="55"/>
        <v>6</v>
      </c>
      <c r="AT206" s="2258">
        <f t="shared" si="56"/>
        <v>1.039318246</v>
      </c>
      <c r="AU206" s="2258">
        <f t="shared" si="53"/>
        <v>0.8149283437</v>
      </c>
      <c r="AV206" s="1957"/>
      <c r="AW206" s="1957"/>
      <c r="AX206" s="794">
        <f>VLOOKUP(Mercado!L33,'catalogo 2'!$A$143:$C$185,3)/100</f>
        <v>0.8</v>
      </c>
      <c r="AY206" s="2252"/>
      <c r="AZ206" s="1957"/>
      <c r="BA206" s="2253">
        <f>VLOOKUP(Mercado!L33,'catalogo 2'!$A$2:$C$7,3)/100</f>
        <v>0.75</v>
      </c>
      <c r="BB206" s="2252"/>
    </row>
    <row r="207" ht="12.75" customHeight="1">
      <c r="A207" s="1341">
        <v>5.0</v>
      </c>
      <c r="B207" s="1342"/>
      <c r="C207" s="672">
        <f t="shared" si="45"/>
        <v>175</v>
      </c>
      <c r="D207" s="604"/>
      <c r="E207" s="596"/>
      <c r="F207" s="672">
        <f t="shared" si="46"/>
        <v>158</v>
      </c>
      <c r="G207" s="604"/>
      <c r="H207" s="596"/>
      <c r="I207" s="673">
        <f t="shared" si="47"/>
        <v>27967.15429</v>
      </c>
      <c r="J207" s="604"/>
      <c r="K207" s="596"/>
      <c r="L207" s="2259">
        <v>1.0</v>
      </c>
      <c r="M207" s="596"/>
      <c r="N207" s="2259">
        <v>1.0</v>
      </c>
      <c r="O207" s="604"/>
      <c r="P207" s="596"/>
      <c r="Q207" s="674">
        <f t="shared" si="48"/>
        <v>0.9814234862</v>
      </c>
      <c r="R207" s="604"/>
      <c r="S207" s="596"/>
      <c r="T207" s="674">
        <f t="shared" si="49"/>
        <v>0.8983274895</v>
      </c>
      <c r="U207" s="604"/>
      <c r="V207" s="604"/>
      <c r="W207" s="2260"/>
      <c r="X207" s="2261">
        <f t="shared" si="50"/>
        <v>1.125</v>
      </c>
      <c r="Y207" s="2321">
        <v>1.05</v>
      </c>
      <c r="Z207" s="604"/>
      <c r="AA207" s="596"/>
      <c r="AB207" s="2321">
        <v>1.1</v>
      </c>
      <c r="AC207" s="604"/>
      <c r="AD207" s="596"/>
      <c r="AE207" s="675">
        <f t="shared" si="54"/>
        <v>0.95</v>
      </c>
      <c r="AF207" s="604"/>
      <c r="AG207" s="596"/>
      <c r="AH207" s="674">
        <f t="shared" si="51"/>
        <v>1.09</v>
      </c>
      <c r="AI207" s="604"/>
      <c r="AJ207" s="604"/>
      <c r="AK207" s="596"/>
      <c r="AL207" s="676">
        <f t="shared" si="52"/>
        <v>30484.19817</v>
      </c>
      <c r="AM207" s="596"/>
      <c r="AN207" s="1957"/>
      <c r="AO207" s="1963"/>
      <c r="AS207" s="2250">
        <f t="shared" si="55"/>
        <v>6</v>
      </c>
      <c r="AT207" s="2262">
        <f t="shared" si="56"/>
        <v>0.9814234862</v>
      </c>
      <c r="AU207" s="2262">
        <f t="shared" si="53"/>
        <v>0.8983274895</v>
      </c>
      <c r="AV207" s="1957"/>
      <c r="AW207" s="1957"/>
      <c r="AX207" s="794">
        <f>VLOOKUP(Mercado!L34,'catalogo 2'!$A$143:$C$185,3)/100</f>
        <v>0.8</v>
      </c>
      <c r="AY207" s="2263"/>
      <c r="AZ207" s="1957"/>
      <c r="BA207" s="2264">
        <f>VLOOKUP(Mercado!L34,'catalogo 2'!$A$2:$C$7,3)/100</f>
        <v>0.75</v>
      </c>
      <c r="BB207" s="2263"/>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5"/>
      <c r="AC208" s="2265"/>
      <c r="AD208" s="2265"/>
      <c r="AE208" s="685"/>
      <c r="AF208" s="685"/>
      <c r="AG208" s="685"/>
      <c r="AH208" s="682" t="s">
        <v>104</v>
      </c>
      <c r="AI208" s="682"/>
      <c r="AJ208" s="682"/>
      <c r="AK208" s="682"/>
      <c r="AL208" s="686"/>
      <c r="AM208" s="686"/>
      <c r="AN208" s="1957"/>
      <c r="AO208" s="1957"/>
      <c r="AP208" s="1957"/>
      <c r="AQ208" s="1957"/>
      <c r="AR208" s="1957"/>
      <c r="AS208" s="1957"/>
      <c r="AT208" s="1957"/>
      <c r="AU208" s="1957"/>
      <c r="AV208" s="1957"/>
      <c r="AW208" s="1957"/>
      <c r="AX208" s="2266" t="str">
        <f>VLOOKUP(Mercado!#REF!,'catalogo 2'!A7:C12,3)/100</f>
        <v>#ERROR!</v>
      </c>
      <c r="AY208" s="1957"/>
      <c r="AZ208" s="1957"/>
      <c r="BA208" s="1957"/>
      <c r="BB208" s="1957"/>
    </row>
    <row r="209" ht="19.5" customHeight="1">
      <c r="A209" s="688"/>
      <c r="B209" s="688"/>
      <c r="C209" s="689"/>
      <c r="D209" s="689"/>
      <c r="E209" s="34"/>
      <c r="F209" s="690"/>
      <c r="G209" s="690"/>
      <c r="H209" s="1349" t="s">
        <v>259</v>
      </c>
      <c r="I209" s="1735">
        <f>AVERAGE(I203:I207)</f>
        <v>32673.41274</v>
      </c>
      <c r="J209" s="482"/>
      <c r="K209" s="483"/>
      <c r="L209" s="693" t="s">
        <v>272</v>
      </c>
      <c r="M209" s="693"/>
      <c r="N209" s="34"/>
      <c r="O209" s="2267" t="s">
        <v>273</v>
      </c>
      <c r="P209" s="467"/>
      <c r="Q209" s="467"/>
      <c r="R209" s="467"/>
      <c r="S209" s="467"/>
      <c r="T209" s="467"/>
      <c r="U209" s="467"/>
      <c r="V209" s="467"/>
      <c r="W209" s="467"/>
      <c r="X209" s="467"/>
      <c r="Y209" s="467"/>
      <c r="Z209" s="467"/>
      <c r="AA209" s="467"/>
      <c r="AB209" s="467"/>
      <c r="AC209" s="467"/>
      <c r="AD209" s="467"/>
      <c r="AE209" s="467"/>
      <c r="AF209" s="467"/>
      <c r="AG209" s="695"/>
      <c r="AH209" s="1349" t="s">
        <v>259</v>
      </c>
      <c r="AL209" s="696">
        <f>AVERAGE(AL203:AL208)</f>
        <v>32793.32836</v>
      </c>
      <c r="AM209" s="483"/>
      <c r="AN209" s="1957"/>
      <c r="AO209" s="1963"/>
      <c r="AS209" s="1957"/>
      <c r="AT209" s="1957"/>
      <c r="AU209" s="1957"/>
      <c r="AV209" s="1957"/>
      <c r="AW209" s="1957"/>
      <c r="AX209" s="1957"/>
      <c r="AY209" s="1957"/>
      <c r="AZ209" s="1957"/>
      <c r="BA209" s="1957"/>
      <c r="BB209" s="1957"/>
    </row>
    <row r="210" ht="12.0" customHeight="1">
      <c r="A210" s="34"/>
      <c r="B210" s="34"/>
      <c r="C210" s="697" t="s">
        <v>274</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7"/>
      <c r="AO210" s="1957"/>
      <c r="AP210" s="1957"/>
      <c r="AQ210" s="1957"/>
      <c r="AR210" s="1957"/>
      <c r="AS210" s="1957"/>
      <c r="AT210" s="1957"/>
      <c r="AU210" s="1957"/>
      <c r="AV210" s="1957"/>
      <c r="AW210" s="1957"/>
      <c r="AX210" s="1957"/>
      <c r="AY210" s="1957"/>
      <c r="AZ210" s="1957"/>
      <c r="BA210" s="1957"/>
      <c r="BB210" s="1957"/>
    </row>
    <row r="211" ht="13.5" customHeight="1">
      <c r="A211" s="34"/>
      <c r="B211" s="34"/>
      <c r="C211" s="700" t="s">
        <v>275</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7"/>
      <c r="AO211" s="1963"/>
      <c r="AS211" s="1957"/>
      <c r="AT211" s="1957"/>
      <c r="AU211" s="1957"/>
      <c r="AV211" s="1957"/>
      <c r="AW211" s="1957"/>
      <c r="AX211" s="1957"/>
      <c r="AY211" s="1957"/>
      <c r="AZ211" s="1957"/>
      <c r="BA211" s="1957"/>
      <c r="BB211" s="1957"/>
    </row>
    <row r="212" ht="12.75" customHeight="1">
      <c r="A212" s="815"/>
      <c r="B212" s="396"/>
      <c r="C212" s="816" t="s">
        <v>276</v>
      </c>
      <c r="D212" s="817"/>
      <c r="E212" s="1744">
        <f>MIN(AL203:AL207)</f>
        <v>29497.28242</v>
      </c>
      <c r="F212" s="85"/>
      <c r="G212" s="85"/>
      <c r="H212" s="86"/>
      <c r="I212" s="822" t="s">
        <v>277</v>
      </c>
      <c r="J212" s="702"/>
      <c r="K212" s="713"/>
      <c r="L212" s="713"/>
      <c r="M212" s="713"/>
      <c r="N212" s="713"/>
      <c r="O212" s="701"/>
      <c r="P212" s="701"/>
      <c r="Q212" s="703"/>
      <c r="R212" s="714"/>
      <c r="S212" s="703"/>
      <c r="T212" s="703"/>
      <c r="U212" s="703"/>
      <c r="V212" s="703"/>
      <c r="W212" s="703"/>
      <c r="X212" s="703"/>
      <c r="Y212" s="716" t="s">
        <v>278</v>
      </c>
      <c r="Z212" s="1747">
        <f>AL209</f>
        <v>32793.32836</v>
      </c>
      <c r="AA212" s="85"/>
      <c r="AB212" s="85"/>
      <c r="AC212" s="85"/>
      <c r="AD212" s="86"/>
      <c r="AE212" s="822" t="s">
        <v>277</v>
      </c>
      <c r="AF212" s="703"/>
      <c r="AG212" s="703"/>
      <c r="AH212" s="703"/>
      <c r="AI212" s="703"/>
      <c r="AJ212" s="703"/>
      <c r="AK212" s="703"/>
      <c r="AL212" s="703"/>
      <c r="AM212" s="703"/>
      <c r="AN212" s="1957"/>
      <c r="AO212" s="1957"/>
      <c r="AP212" s="1957"/>
      <c r="AQ212" s="1957"/>
      <c r="AR212" s="1957"/>
      <c r="AS212" s="1957"/>
      <c r="AT212" s="1957"/>
      <c r="AU212" s="1957"/>
      <c r="AV212" s="1957"/>
      <c r="AW212" s="1957"/>
      <c r="AX212" s="1957"/>
      <c r="AY212" s="1957"/>
      <c r="AZ212" s="1957"/>
      <c r="BA212" s="1957"/>
      <c r="BB212" s="1957"/>
    </row>
    <row r="213" ht="12.75" customHeight="1">
      <c r="A213" s="470"/>
      <c r="B213" s="34"/>
      <c r="C213" s="823" t="s">
        <v>259</v>
      </c>
      <c r="D213" s="817"/>
      <c r="E213" s="1744">
        <f>AL209</f>
        <v>32793.32836</v>
      </c>
      <c r="F213" s="85"/>
      <c r="G213" s="85"/>
      <c r="H213" s="86"/>
      <c r="I213" s="822" t="s">
        <v>277</v>
      </c>
      <c r="J213" s="702"/>
      <c r="K213" s="713"/>
      <c r="L213" s="713"/>
      <c r="M213" s="713"/>
      <c r="N213" s="713"/>
      <c r="O213" s="701"/>
      <c r="P213" s="701"/>
      <c r="Q213" s="703"/>
      <c r="R213" s="714"/>
      <c r="S213" s="703"/>
      <c r="T213" s="703"/>
      <c r="U213" s="703"/>
      <c r="V213" s="703"/>
      <c r="W213" s="703"/>
      <c r="X213" s="703"/>
      <c r="Y213" s="716" t="s">
        <v>280</v>
      </c>
      <c r="Z213" s="1749">
        <f>'OPI Constr'!K123</f>
        <v>74.2</v>
      </c>
      <c r="AA213" s="85"/>
      <c r="AB213" s="85"/>
      <c r="AC213" s="85"/>
      <c r="AD213" s="86"/>
      <c r="AE213" s="701"/>
      <c r="AF213" s="703"/>
      <c r="AG213" s="703"/>
      <c r="AH213" s="703"/>
      <c r="AI213" s="703"/>
      <c r="AJ213" s="703"/>
      <c r="AK213" s="703"/>
      <c r="AL213" s="703"/>
      <c r="AM213" s="703"/>
      <c r="AN213" s="1957"/>
      <c r="AO213" s="1957"/>
      <c r="AP213" s="1957"/>
      <c r="AQ213" s="1957"/>
      <c r="AR213" s="1957"/>
      <c r="AS213" s="1957"/>
      <c r="AT213" s="1957"/>
      <c r="AU213" s="1957"/>
      <c r="AV213" s="1957"/>
      <c r="AW213" s="1957"/>
      <c r="AX213" s="1957"/>
      <c r="AY213" s="1957"/>
      <c r="AZ213" s="1957"/>
      <c r="BA213" s="1957"/>
      <c r="BB213" s="1957"/>
    </row>
    <row r="214" ht="10.5" customHeight="1">
      <c r="A214" s="825"/>
      <c r="B214" s="244"/>
      <c r="C214" s="826" t="s">
        <v>281</v>
      </c>
      <c r="D214" s="817"/>
      <c r="E214" s="1751">
        <f>MAX(AL203:AL207)</f>
        <v>39813.17021</v>
      </c>
      <c r="F214" s="85"/>
      <c r="G214" s="85"/>
      <c r="H214" s="86"/>
      <c r="I214" s="822" t="s">
        <v>277</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8"/>
      <c r="AK214" s="2268"/>
      <c r="AL214" s="2268"/>
      <c r="AM214" s="2268"/>
      <c r="AN214" s="1957"/>
      <c r="AO214" s="1957"/>
      <c r="AP214" s="1957"/>
      <c r="AQ214" s="1957"/>
      <c r="AR214" s="1957"/>
      <c r="AS214" s="1957"/>
      <c r="AT214" s="1957"/>
      <c r="AU214" s="1957"/>
      <c r="AV214" s="1957"/>
      <c r="AW214" s="1957"/>
      <c r="AX214" s="1957"/>
      <c r="AY214" s="1957"/>
      <c r="AZ214" s="1957"/>
      <c r="BA214" s="1957"/>
      <c r="BB214" s="1957"/>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69" t="s">
        <v>282</v>
      </c>
      <c r="AJ215" s="2270">
        <f>Z212*Z213</f>
        <v>2433264.964</v>
      </c>
      <c r="AK215" s="482"/>
      <c r="AL215" s="482"/>
      <c r="AM215" s="483"/>
      <c r="AN215" s="1957"/>
      <c r="AO215" s="1957"/>
      <c r="AP215" s="1957"/>
      <c r="AQ215" s="1957"/>
      <c r="AR215" s="1957"/>
      <c r="AS215" s="1957"/>
      <c r="AT215" s="1957"/>
      <c r="AU215" s="1957"/>
      <c r="AV215" s="1957"/>
      <c r="AW215" s="1957"/>
      <c r="AX215" s="1957"/>
      <c r="AY215" s="1957"/>
      <c r="AZ215" s="1957"/>
      <c r="BA215" s="1957"/>
      <c r="BB215" s="1957"/>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7"/>
      <c r="AO216" s="1957"/>
      <c r="AP216" s="1957"/>
      <c r="AQ216" s="1957"/>
      <c r="AR216" s="1957"/>
      <c r="AS216" s="1957"/>
      <c r="AT216" s="1957"/>
      <c r="AU216" s="1957"/>
      <c r="AV216" s="1957"/>
      <c r="AW216" s="1957"/>
      <c r="AX216" s="1957"/>
      <c r="AY216" s="1957"/>
      <c r="AZ216" s="1957"/>
      <c r="BA216" s="1957"/>
      <c r="BB216" s="1957"/>
    </row>
    <row r="217" ht="12.75" customHeight="1">
      <c r="A217" s="733" t="s">
        <v>283</v>
      </c>
      <c r="B217" s="34"/>
      <c r="D217" s="733"/>
      <c r="E217" s="124"/>
      <c r="F217" s="699"/>
      <c r="G217" s="699"/>
      <c r="H217" s="698"/>
      <c r="I217" s="698"/>
      <c r="J217" s="698"/>
      <c r="K217" s="698"/>
      <c r="L217" s="699"/>
      <c r="M217" s="699"/>
      <c r="N217" s="699"/>
      <c r="P217" s="699"/>
      <c r="R217" s="699"/>
      <c r="S217" s="698"/>
      <c r="T217" s="699"/>
      <c r="U217" s="699"/>
      <c r="V217" s="699"/>
      <c r="W217" s="2271" t="s">
        <v>742</v>
      </c>
      <c r="X217" s="699"/>
      <c r="Y217" s="699"/>
      <c r="Z217" s="699"/>
      <c r="AA217" s="699"/>
      <c r="AB217" s="699"/>
      <c r="AD217" s="699"/>
      <c r="AE217" s="699"/>
      <c r="AF217" s="34"/>
      <c r="AG217" s="2272">
        <f>'Analisis Avance O.'!B50</f>
        <v>1</v>
      </c>
      <c r="AI217" s="34"/>
      <c r="AJ217" s="2273">
        <f>AJ215*AG217</f>
        <v>2433264.964</v>
      </c>
      <c r="AK217" s="2274"/>
      <c r="AL217" s="2274"/>
      <c r="AM217" s="2275"/>
      <c r="AN217" s="1957"/>
      <c r="AO217" s="2276" t="s">
        <v>104</v>
      </c>
      <c r="AP217" s="2276"/>
      <c r="AQ217" s="1957"/>
      <c r="AR217" s="1957"/>
      <c r="AS217" s="1957"/>
      <c r="AT217" s="1957"/>
      <c r="AU217" s="1957"/>
      <c r="AV217" s="1957"/>
      <c r="AW217" s="1957"/>
      <c r="AX217" s="1957"/>
      <c r="AY217" s="1957"/>
      <c r="AZ217" s="1957"/>
      <c r="BA217" s="1957"/>
      <c r="BB217" s="1957"/>
    </row>
    <row r="218" ht="12.75" customHeight="1">
      <c r="A218" s="832" t="s">
        <v>743</v>
      </c>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1957"/>
      <c r="AO218" s="2277"/>
      <c r="AP218" s="2278"/>
      <c r="AQ218" s="1957"/>
      <c r="AR218" s="1957"/>
      <c r="AS218" s="1957"/>
      <c r="AT218" s="1957"/>
      <c r="AU218" s="1957"/>
      <c r="AV218" s="1957"/>
      <c r="AW218" s="1957"/>
      <c r="AX218" s="1957"/>
      <c r="AY218" s="1957"/>
      <c r="AZ218" s="1957"/>
      <c r="BA218" s="1957"/>
      <c r="BB218" s="1957"/>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7"/>
      <c r="AO219" s="2277"/>
      <c r="AP219" s="2278"/>
      <c r="AQ219" s="1957"/>
      <c r="AR219" s="1957"/>
      <c r="AS219" s="1957"/>
      <c r="AT219" s="1957"/>
      <c r="AU219" s="1957"/>
      <c r="AV219" s="1957"/>
      <c r="AW219" s="1957"/>
      <c r="AX219" s="1957"/>
      <c r="AY219" s="1957"/>
      <c r="AZ219" s="1957"/>
      <c r="BA219" s="1957"/>
      <c r="BB219" s="1957"/>
    </row>
    <row r="220" ht="11.25" customHeight="1">
      <c r="A220" s="736" t="s">
        <v>285</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7"/>
      <c r="AO220" s="1957"/>
      <c r="AP220" s="1957"/>
      <c r="AQ220" s="1957"/>
      <c r="AR220" s="1957"/>
      <c r="AS220" s="1957"/>
      <c r="AT220" s="1957"/>
      <c r="AU220" s="1957"/>
      <c r="AV220" s="1957"/>
      <c r="AW220" s="1957"/>
      <c r="AX220" s="1957"/>
      <c r="AY220" s="1957"/>
      <c r="AZ220" s="1957"/>
      <c r="BA220" s="1957"/>
      <c r="BB220" s="1957"/>
    </row>
    <row r="221" ht="12.75" customHeight="1">
      <c r="A221" s="494" t="s">
        <v>286</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7"/>
      <c r="AO221" s="1957"/>
      <c r="AP221" s="1957"/>
      <c r="AQ221" s="1957"/>
      <c r="AR221" s="1957"/>
      <c r="AS221" s="1957"/>
      <c r="AT221" s="1957"/>
      <c r="AU221" s="1957"/>
      <c r="AV221" s="1957"/>
      <c r="AW221" s="1957"/>
      <c r="AX221" s="1957"/>
      <c r="AY221" s="1957"/>
      <c r="AZ221" s="1957"/>
      <c r="BA221" s="1957"/>
      <c r="BB221" s="1957"/>
    </row>
    <row r="222" ht="12.75" customHeight="1">
      <c r="A222" s="738" t="s">
        <v>287</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7"/>
      <c r="AO222" s="1957"/>
      <c r="AP222" s="1957"/>
      <c r="AQ222" s="1957"/>
      <c r="AR222" s="1957"/>
      <c r="AS222" s="1957"/>
      <c r="AT222" s="1957"/>
      <c r="AU222" s="1957"/>
      <c r="AV222" s="1957"/>
      <c r="AW222" s="1957"/>
      <c r="AX222" s="1957"/>
      <c r="AY222" s="1957"/>
      <c r="AZ222" s="1957"/>
      <c r="BA222" s="1957"/>
      <c r="BB222" s="1957"/>
    </row>
    <row r="223" ht="12.75" customHeight="1">
      <c r="A223" s="740"/>
      <c r="B223" s="740"/>
      <c r="C223" s="1372" t="s">
        <v>288</v>
      </c>
      <c r="AN223" s="1957"/>
      <c r="AO223" s="1957"/>
      <c r="AP223" s="1957"/>
      <c r="AQ223" s="1957"/>
      <c r="AR223" s="1957"/>
      <c r="AS223" s="1957"/>
      <c r="AT223" s="1957"/>
      <c r="AU223" s="1957"/>
      <c r="AV223" s="1957"/>
      <c r="AW223" s="1957"/>
      <c r="AX223" s="1957"/>
      <c r="AY223" s="1957"/>
      <c r="AZ223" s="1957"/>
      <c r="BA223" s="1957"/>
      <c r="BB223" s="1957"/>
    </row>
    <row r="224" ht="12.75" customHeight="1">
      <c r="A224" s="740"/>
      <c r="B224" s="740"/>
      <c r="AN224" s="1957"/>
      <c r="AO224" s="1957"/>
      <c r="AP224" s="1957"/>
      <c r="AQ224" s="1957"/>
      <c r="AR224" s="1957"/>
      <c r="AS224" s="1957"/>
      <c r="AT224" s="1957"/>
      <c r="AU224" s="1957"/>
      <c r="AV224" s="1957"/>
      <c r="AW224" s="1957"/>
      <c r="AX224" s="1957"/>
      <c r="AY224" s="1957"/>
      <c r="AZ224" s="1957"/>
      <c r="BA224" s="1957"/>
      <c r="BB224" s="1957"/>
    </row>
    <row r="225" ht="12.75" customHeight="1">
      <c r="A225" s="740"/>
      <c r="B225" s="740"/>
      <c r="AN225" s="1957"/>
      <c r="AO225" s="1957"/>
      <c r="AP225" s="1957"/>
      <c r="AQ225" s="1957"/>
      <c r="AR225" s="1957"/>
      <c r="AS225" s="1957"/>
      <c r="AT225" s="1957"/>
      <c r="AU225" s="1957"/>
      <c r="AV225" s="1957"/>
      <c r="AW225" s="1957"/>
      <c r="AX225" s="1957"/>
      <c r="AY225" s="1957"/>
      <c r="AZ225" s="1957"/>
      <c r="BA225" s="1957"/>
      <c r="BB225" s="1957"/>
    </row>
    <row r="226" ht="12.75" customHeight="1">
      <c r="A226" s="740"/>
      <c r="B226" s="740"/>
      <c r="E226" s="494"/>
      <c r="F226" s="494"/>
      <c r="G226" s="494"/>
      <c r="H226" s="494"/>
      <c r="I226" s="494"/>
      <c r="J226" s="494"/>
      <c r="K226" s="494"/>
      <c r="L226" s="494"/>
      <c r="M226" s="494"/>
      <c r="AD226" s="494"/>
      <c r="AE226" s="494"/>
      <c r="AF226" s="494"/>
      <c r="AG226" s="34"/>
      <c r="AH226" s="34"/>
      <c r="AN226" s="1957"/>
      <c r="AO226" s="1957"/>
      <c r="AP226" s="1957"/>
      <c r="AQ226" s="1957"/>
      <c r="AR226" s="1957"/>
      <c r="AS226" s="1957"/>
      <c r="AT226" s="1957"/>
      <c r="AU226" s="1957"/>
      <c r="AV226" s="1957"/>
      <c r="AW226" s="1957"/>
      <c r="AX226" s="1957"/>
      <c r="AY226" s="1957"/>
      <c r="AZ226" s="1957"/>
      <c r="BA226" s="1957"/>
      <c r="BB226" s="1957"/>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7"/>
      <c r="AO227" s="1957"/>
      <c r="AP227" s="1957"/>
      <c r="AQ227" s="1957"/>
      <c r="AR227" s="1957"/>
      <c r="AS227" s="1957"/>
      <c r="AT227" s="1957"/>
      <c r="AU227" s="1957"/>
      <c r="AV227" s="1957"/>
      <c r="AW227" s="1957"/>
      <c r="AX227" s="1957"/>
      <c r="AY227" s="1957"/>
      <c r="AZ227" s="1957"/>
      <c r="BA227" s="1957"/>
      <c r="BB227" s="1957"/>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7"/>
      <c r="AO228" s="1957"/>
      <c r="AP228" s="1957"/>
      <c r="AQ228" s="1957"/>
      <c r="AR228" s="1957"/>
      <c r="AS228" s="1957"/>
      <c r="AT228" s="1957"/>
      <c r="AU228" s="1957"/>
      <c r="AV228" s="1957"/>
      <c r="AW228" s="1957"/>
      <c r="AX228" s="1957"/>
      <c r="AY228" s="1957"/>
      <c r="AZ228" s="1957"/>
      <c r="BA228" s="1957"/>
      <c r="BB228" s="1957"/>
    </row>
    <row r="229" ht="12.75" customHeight="1">
      <c r="A229" s="740"/>
      <c r="B229" s="740"/>
      <c r="C229" s="741"/>
      <c r="D229" s="741"/>
      <c r="E229" s="34"/>
      <c r="F229" s="34"/>
      <c r="G229" s="34"/>
      <c r="H229" s="34"/>
      <c r="I229" s="34"/>
      <c r="J229" s="34"/>
      <c r="K229" s="34"/>
      <c r="L229" s="90"/>
      <c r="M229" s="90"/>
      <c r="N229" s="494"/>
      <c r="S229" s="118" t="s">
        <v>289</v>
      </c>
      <c r="AC229" s="494"/>
      <c r="AD229" s="34"/>
      <c r="AE229" s="34"/>
      <c r="AF229" s="34"/>
      <c r="AG229" s="34"/>
      <c r="AH229" s="34"/>
      <c r="AN229" s="1957"/>
      <c r="AO229" s="1957"/>
      <c r="AP229" s="1957"/>
      <c r="AQ229" s="1957"/>
      <c r="AR229" s="1957"/>
      <c r="AS229" s="1957"/>
      <c r="AT229" s="1957"/>
      <c r="AU229" s="1957"/>
      <c r="AV229" s="1957"/>
      <c r="AW229" s="1957"/>
      <c r="AX229" s="1957"/>
      <c r="AY229" s="1957"/>
      <c r="AZ229" s="1957"/>
      <c r="BA229" s="1957"/>
      <c r="BB229" s="1957"/>
    </row>
    <row r="230" ht="12.75" customHeight="1">
      <c r="A230" s="740"/>
      <c r="B230" s="740"/>
      <c r="C230" s="741"/>
      <c r="D230" s="741"/>
      <c r="E230" s="34"/>
      <c r="F230" s="34"/>
      <c r="G230" s="34"/>
      <c r="H230" s="34"/>
      <c r="I230" s="34"/>
      <c r="J230" s="34"/>
      <c r="K230" s="34"/>
      <c r="L230" s="90"/>
      <c r="M230" s="90"/>
      <c r="N230" s="493"/>
      <c r="O230" s="493" t="s">
        <v>220</v>
      </c>
      <c r="P230" s="494"/>
      <c r="Q230" s="494"/>
      <c r="R230" s="494"/>
      <c r="S230" s="494"/>
      <c r="T230" s="494"/>
      <c r="U230" s="494"/>
      <c r="V230" s="494"/>
      <c r="W230" s="494"/>
      <c r="X230" s="494"/>
      <c r="Y230" s="494"/>
      <c r="Z230" s="494"/>
      <c r="AA230" s="494"/>
      <c r="AB230" s="494"/>
      <c r="AC230" s="34"/>
      <c r="AD230" s="34"/>
      <c r="AE230" s="34"/>
      <c r="AF230" s="34"/>
      <c r="AG230" s="34"/>
      <c r="AH230" s="34"/>
      <c r="AN230" s="1957"/>
      <c r="AO230" s="1957"/>
      <c r="AP230" s="1957"/>
      <c r="AQ230" s="1957"/>
      <c r="AR230" s="1957"/>
      <c r="AS230" s="1957"/>
      <c r="AT230" s="1957"/>
      <c r="AU230" s="1957"/>
      <c r="AV230" s="1957"/>
      <c r="AW230" s="1957"/>
      <c r="AX230" s="1957"/>
      <c r="AY230" s="1957"/>
      <c r="AZ230" s="1957"/>
      <c r="BA230" s="1957"/>
      <c r="BB230" s="1957"/>
    </row>
    <row r="231" ht="12.75" customHeight="1">
      <c r="A231" s="740"/>
      <c r="B231" s="740"/>
      <c r="C231" s="741"/>
      <c r="D231" s="741"/>
      <c r="E231" s="34"/>
      <c r="F231" s="34"/>
      <c r="G231" s="34"/>
      <c r="H231" s="34"/>
      <c r="I231" s="34"/>
      <c r="J231" s="34"/>
      <c r="K231" s="34"/>
      <c r="L231" s="90"/>
      <c r="M231" s="90"/>
      <c r="N231" s="56"/>
      <c r="P231" s="493"/>
      <c r="R231" s="493"/>
      <c r="S231" s="90" t="s">
        <v>222</v>
      </c>
      <c r="T231" s="493"/>
      <c r="U231" s="493"/>
      <c r="V231" s="493"/>
      <c r="W231" s="493"/>
      <c r="X231" s="493"/>
      <c r="Y231" s="493"/>
      <c r="Z231" s="493"/>
      <c r="AA231" s="34"/>
      <c r="AB231" s="34"/>
      <c r="AC231" s="34"/>
      <c r="AD231" s="34"/>
      <c r="AE231" s="34"/>
      <c r="AF231" s="34"/>
      <c r="AG231" s="34"/>
      <c r="AH231" s="34"/>
      <c r="AN231" s="1957"/>
      <c r="AO231" s="1957"/>
      <c r="AP231" s="1957"/>
      <c r="AQ231" s="1957"/>
      <c r="AR231" s="1957"/>
      <c r="AS231" s="1957"/>
      <c r="AT231" s="1957"/>
      <c r="AU231" s="1957"/>
      <c r="AV231" s="1957"/>
      <c r="AW231" s="1957"/>
      <c r="AX231" s="1957"/>
      <c r="AY231" s="1957"/>
      <c r="AZ231" s="1957"/>
      <c r="BA231" s="1957"/>
      <c r="BB231" s="1957"/>
    </row>
    <row r="232" ht="12.75" customHeight="1">
      <c r="A232" s="740"/>
      <c r="B232" s="740"/>
      <c r="C232" s="741"/>
      <c r="D232" s="741"/>
      <c r="E232" s="34"/>
      <c r="F232" s="34"/>
      <c r="G232" s="34"/>
      <c r="H232" s="34"/>
      <c r="I232" s="34"/>
      <c r="J232" s="34"/>
      <c r="K232" s="34"/>
      <c r="L232" s="90"/>
      <c r="M232" s="90"/>
      <c r="N232" s="56"/>
      <c r="O232" s="56"/>
      <c r="P232" s="56"/>
      <c r="R232" s="56"/>
      <c r="S232" s="90" t="s">
        <v>223</v>
      </c>
      <c r="T232" s="56"/>
      <c r="U232" s="56"/>
      <c r="V232" s="56"/>
      <c r="W232" s="56"/>
      <c r="X232" s="56"/>
      <c r="Y232" s="34"/>
      <c r="Z232" s="34"/>
      <c r="AA232" s="34"/>
      <c r="AB232" s="34"/>
      <c r="AC232" s="34"/>
      <c r="AD232" s="34"/>
      <c r="AE232" s="34"/>
      <c r="AF232" s="34"/>
      <c r="AG232" s="34"/>
      <c r="AH232" s="34"/>
      <c r="AN232" s="1957"/>
      <c r="AO232" s="1957"/>
      <c r="AP232" s="1957"/>
      <c r="AQ232" s="1957"/>
      <c r="AR232" s="1957"/>
      <c r="AS232" s="1957"/>
      <c r="AT232" s="1957"/>
      <c r="AU232" s="1957"/>
      <c r="AV232" s="1957"/>
      <c r="AW232" s="1957"/>
      <c r="AX232" s="1957"/>
      <c r="AY232" s="1957"/>
      <c r="AZ232" s="1957"/>
      <c r="BA232" s="1957"/>
      <c r="BB232" s="1957"/>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7"/>
      <c r="AO233" s="1957"/>
      <c r="AP233" s="1957"/>
      <c r="AQ233" s="1957"/>
      <c r="AR233" s="1957"/>
      <c r="AS233" s="1957"/>
      <c r="AT233" s="1957"/>
      <c r="AU233" s="1957"/>
      <c r="AV233" s="1957"/>
      <c r="AW233" s="1957"/>
      <c r="AX233" s="1957"/>
      <c r="AY233" s="1957"/>
      <c r="AZ233" s="1957"/>
      <c r="BA233" s="1957"/>
      <c r="BB233" s="1957"/>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7"/>
      <c r="AO234" s="1957"/>
      <c r="AP234" s="1957"/>
      <c r="AQ234" s="1957"/>
      <c r="AR234" s="1957"/>
      <c r="AS234" s="1957"/>
      <c r="AT234" s="1957"/>
      <c r="AU234" s="1957"/>
      <c r="AV234" s="1957"/>
      <c r="AW234" s="1957"/>
      <c r="AX234" s="1957"/>
      <c r="AY234" s="1957"/>
      <c r="AZ234" s="1957"/>
      <c r="BA234" s="1957"/>
      <c r="BB234" s="1957"/>
    </row>
    <row r="235" ht="33.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7"/>
      <c r="AO235" s="1957"/>
      <c r="AP235" s="1957"/>
      <c r="AQ235" s="1957"/>
      <c r="AR235" s="1957"/>
      <c r="AS235" s="1957"/>
      <c r="AT235" s="1957"/>
      <c r="AU235" s="1957"/>
      <c r="AV235" s="1957"/>
      <c r="AW235" s="1957"/>
      <c r="AX235" s="1957"/>
      <c r="AY235" s="1957"/>
      <c r="AZ235" s="1957"/>
      <c r="BA235" s="1957"/>
      <c r="BB235" s="1957"/>
    </row>
    <row r="236" ht="16.5" customHeight="1">
      <c r="A236" s="89" t="s">
        <v>294</v>
      </c>
      <c r="AN236" s="1957"/>
      <c r="AO236" s="1957"/>
      <c r="AP236" s="1957"/>
      <c r="AQ236" s="1957"/>
      <c r="AR236" s="1957"/>
      <c r="AS236" s="1957"/>
      <c r="AT236" s="1957"/>
      <c r="AU236" s="1957"/>
      <c r="AV236" s="1957"/>
      <c r="AW236" s="1957"/>
      <c r="AX236" s="1957"/>
      <c r="AY236" s="1957"/>
      <c r="AZ236" s="1957"/>
      <c r="BA236" s="1957"/>
      <c r="BB236" s="1957"/>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N237" s="1957"/>
      <c r="AO237" s="1957"/>
      <c r="AP237" s="1957"/>
      <c r="AQ237" s="1957"/>
      <c r="AR237" s="1957"/>
      <c r="AS237" s="1957"/>
      <c r="AT237" s="1957"/>
      <c r="AU237" s="1957"/>
      <c r="AV237" s="1957"/>
      <c r="AW237" s="1957"/>
      <c r="AX237" s="1957"/>
      <c r="AY237" s="1957"/>
      <c r="AZ237" s="1957"/>
      <c r="BA237" s="1957"/>
      <c r="BB237" s="1957"/>
    </row>
    <row r="238" ht="12.75" customHeight="1">
      <c r="A238" s="1769" t="str">
        <f>VLOOKUP("4.jp*g",Fotos!$A$2:$E371,5,FALSE)</f>
        <v/>
      </c>
      <c r="N238" s="1029"/>
      <c r="O238" s="1769" t="str">
        <f>VLOOKUP("5.jp*g",Fotos!$A$2:$E371,5,FALSE)</f>
        <v/>
      </c>
      <c r="AB238" s="1029"/>
      <c r="AC238" s="1769" t="str">
        <f>VLOOKUP("6.jp*g",Fotos!$A$2:$E371,5,FALSE)</f>
        <v/>
      </c>
      <c r="AN238" s="1957"/>
      <c r="AO238" s="1957"/>
      <c r="AP238" s="1471"/>
      <c r="AQ238" s="1471"/>
      <c r="AR238" s="1471"/>
      <c r="AS238" s="1471"/>
      <c r="AT238" s="1471"/>
      <c r="AU238" s="1471"/>
      <c r="AV238" s="1471"/>
      <c r="AW238" s="1471"/>
      <c r="AX238" s="1471"/>
      <c r="AY238" s="1471"/>
      <c r="AZ238" s="1471"/>
      <c r="BA238" s="1471"/>
      <c r="BB238" s="1471"/>
      <c r="BC238" s="34"/>
      <c r="BD238" s="34"/>
      <c r="BE238" s="34"/>
      <c r="BF238" s="34"/>
      <c r="BG238" s="34"/>
      <c r="BH238" s="34"/>
      <c r="BI238" s="34"/>
      <c r="BJ238" s="34"/>
      <c r="BK238" s="34"/>
      <c r="BL238" s="34"/>
      <c r="BM238" s="34"/>
      <c r="BN238" s="34"/>
      <c r="BO238" s="34"/>
      <c r="BP238" s="34"/>
      <c r="BQ238" s="34"/>
      <c r="BR238" s="34"/>
    </row>
    <row r="239" ht="12.75" customHeight="1">
      <c r="N239" s="1029"/>
      <c r="AB239" s="1029"/>
      <c r="AN239" s="1957"/>
      <c r="AO239" s="1957"/>
      <c r="AP239" s="1471"/>
      <c r="AQ239" s="1471"/>
      <c r="AR239" s="1471"/>
      <c r="AS239" s="1471"/>
      <c r="AT239" s="1471"/>
      <c r="AU239" s="1471"/>
      <c r="AV239" s="1471"/>
      <c r="AW239" s="1471"/>
      <c r="AX239" s="1471"/>
      <c r="AY239" s="1471"/>
      <c r="AZ239" s="1471"/>
      <c r="BA239" s="1471"/>
      <c r="BB239" s="1471"/>
      <c r="BC239" s="34"/>
      <c r="BD239" s="34"/>
      <c r="BE239" s="34"/>
      <c r="BF239" s="34"/>
      <c r="BG239" s="34"/>
      <c r="BH239" s="34"/>
      <c r="BI239" s="34"/>
      <c r="BJ239" s="34"/>
      <c r="BK239" s="34"/>
      <c r="BL239" s="34"/>
      <c r="BM239" s="34"/>
      <c r="BN239" s="34"/>
      <c r="BO239" s="34"/>
      <c r="BP239" s="34"/>
      <c r="BQ239" s="34"/>
      <c r="BR239" s="34"/>
    </row>
    <row r="240" ht="12.75" customHeight="1">
      <c r="N240" s="1029"/>
      <c r="AB240" s="1029"/>
      <c r="AN240" s="1957"/>
      <c r="AO240" s="1957"/>
      <c r="AP240" s="1471"/>
      <c r="AQ240" s="1471"/>
      <c r="AR240" s="1471"/>
      <c r="AS240" s="1471"/>
      <c r="AT240" s="1471"/>
      <c r="AU240" s="1471"/>
      <c r="AV240" s="1471"/>
      <c r="AW240" s="1471"/>
      <c r="AX240" s="1471"/>
      <c r="AY240" s="1471"/>
      <c r="AZ240" s="1471"/>
      <c r="BA240" s="1471"/>
      <c r="BB240" s="1471"/>
      <c r="BC240" s="34"/>
      <c r="BD240" s="34"/>
      <c r="BE240" s="34"/>
      <c r="BF240" s="34"/>
      <c r="BG240" s="34"/>
      <c r="BH240" s="34"/>
      <c r="BI240" s="34"/>
      <c r="BJ240" s="34"/>
      <c r="BK240" s="34"/>
      <c r="BL240" s="34"/>
      <c r="BM240" s="34"/>
      <c r="BN240" s="34"/>
      <c r="BO240" s="34"/>
      <c r="BP240" s="34"/>
      <c r="BQ240" s="34"/>
      <c r="BR240" s="34"/>
    </row>
    <row r="241" ht="12.75" customHeight="1">
      <c r="N241" s="1029"/>
      <c r="AB241" s="1029"/>
      <c r="AN241" s="1957"/>
      <c r="AO241" s="1957"/>
      <c r="AP241" s="1471"/>
      <c r="AQ241" s="1471"/>
      <c r="AR241" s="1471"/>
      <c r="AS241" s="1471"/>
      <c r="AT241" s="1471"/>
      <c r="AU241" s="1471"/>
      <c r="AV241" s="1471"/>
      <c r="AW241" s="1471"/>
      <c r="AX241" s="1471"/>
      <c r="AY241" s="1471"/>
      <c r="AZ241" s="1471"/>
      <c r="BA241" s="1471"/>
      <c r="BB241" s="1471"/>
      <c r="BC241" s="34"/>
      <c r="BD241" s="34"/>
      <c r="BE241" s="34"/>
      <c r="BF241" s="34"/>
      <c r="BG241" s="34"/>
      <c r="BH241" s="34"/>
      <c r="BI241" s="34"/>
      <c r="BJ241" s="34"/>
      <c r="BK241" s="34"/>
      <c r="BL241" s="34"/>
      <c r="BM241" s="34"/>
      <c r="BN241" s="34"/>
      <c r="BO241" s="34"/>
      <c r="BP241" s="34"/>
      <c r="BQ241" s="34"/>
      <c r="BR241" s="34"/>
    </row>
    <row r="242" ht="12.75" customHeight="1">
      <c r="N242" s="1029"/>
      <c r="AB242" s="1029"/>
      <c r="AN242" s="1957"/>
      <c r="AO242" s="1957"/>
      <c r="AP242" s="1471"/>
      <c r="AQ242" s="1471"/>
      <c r="AR242" s="1471"/>
      <c r="AS242" s="1471"/>
      <c r="AT242" s="1471"/>
      <c r="AU242" s="1471"/>
      <c r="AV242" s="1471"/>
      <c r="AW242" s="1471"/>
      <c r="AX242" s="1471"/>
      <c r="AY242" s="1471"/>
      <c r="AZ242" s="1471"/>
      <c r="BA242" s="1471"/>
      <c r="BB242" s="1471"/>
      <c r="BC242" s="34"/>
      <c r="BD242" s="34"/>
      <c r="BE242" s="34"/>
      <c r="BF242" s="34"/>
      <c r="BG242" s="34"/>
      <c r="BH242" s="34"/>
      <c r="BI242" s="34"/>
      <c r="BJ242" s="34"/>
      <c r="BK242" s="34"/>
      <c r="BL242" s="34"/>
      <c r="BM242" s="34"/>
      <c r="BN242" s="34"/>
      <c r="BO242" s="34"/>
      <c r="BP242" s="34"/>
      <c r="BQ242" s="34"/>
      <c r="BR242" s="34"/>
    </row>
    <row r="243" ht="12.75" customHeight="1">
      <c r="N243" s="1029"/>
      <c r="AB243" s="1029"/>
      <c r="AN243" s="1957"/>
      <c r="AO243" s="1957"/>
      <c r="AP243" s="1471"/>
      <c r="AQ243" s="1471"/>
      <c r="AR243" s="1471"/>
      <c r="AS243" s="1471"/>
      <c r="AT243" s="1471"/>
      <c r="AU243" s="1471"/>
      <c r="AV243" s="1471"/>
      <c r="AW243" s="1471"/>
      <c r="AX243" s="1471"/>
      <c r="AY243" s="1471"/>
      <c r="AZ243" s="1471"/>
      <c r="BA243" s="1471"/>
      <c r="BB243" s="1471"/>
      <c r="BC243" s="34"/>
      <c r="BD243" s="34"/>
      <c r="BE243" s="34"/>
      <c r="BF243" s="34"/>
      <c r="BG243" s="34"/>
      <c r="BH243" s="34"/>
      <c r="BI243" s="34"/>
      <c r="BJ243" s="34"/>
      <c r="BK243" s="34"/>
      <c r="BL243" s="34"/>
      <c r="BM243" s="34"/>
      <c r="BN243" s="34"/>
      <c r="BO243" s="34"/>
      <c r="BP243" s="34"/>
      <c r="BQ243" s="34"/>
      <c r="BR243" s="34"/>
    </row>
    <row r="244" ht="12.75" customHeight="1">
      <c r="N244" s="1029"/>
      <c r="AB244" s="1029"/>
      <c r="AN244" s="1957"/>
      <c r="AO244" s="1957"/>
      <c r="AP244" s="1471"/>
      <c r="AQ244" s="1471"/>
      <c r="AR244" s="1471"/>
      <c r="AS244" s="1471"/>
      <c r="AT244" s="1471"/>
      <c r="AU244" s="1471"/>
      <c r="AV244" s="1471"/>
      <c r="AW244" s="1471"/>
      <c r="AX244" s="1471"/>
      <c r="AY244" s="1471"/>
      <c r="AZ244" s="1471"/>
      <c r="BA244" s="1471"/>
      <c r="BB244" s="1471"/>
      <c r="BC244" s="34"/>
      <c r="BD244" s="34"/>
      <c r="BE244" s="34"/>
      <c r="BF244" s="34"/>
      <c r="BG244" s="34"/>
      <c r="BH244" s="34"/>
      <c r="BI244" s="34"/>
      <c r="BJ244" s="34"/>
      <c r="BK244" s="34"/>
      <c r="BL244" s="34"/>
      <c r="BM244" s="34"/>
      <c r="BN244" s="34"/>
      <c r="BO244" s="34"/>
      <c r="BP244" s="34"/>
      <c r="BQ244" s="34"/>
      <c r="BR244" s="34"/>
    </row>
    <row r="245" ht="12.75" customHeight="1">
      <c r="N245" s="1029"/>
      <c r="AB245" s="1029"/>
      <c r="AN245" s="1957"/>
      <c r="AO245" s="1957"/>
      <c r="AP245" s="1471"/>
      <c r="AQ245" s="1471"/>
      <c r="AR245" s="1471"/>
      <c r="AS245" s="1471"/>
      <c r="AT245" s="1471"/>
      <c r="AU245" s="1471"/>
      <c r="AV245" s="1471"/>
      <c r="AW245" s="1471"/>
      <c r="AX245" s="1471"/>
      <c r="AY245" s="1471"/>
      <c r="AZ245" s="1471"/>
      <c r="BA245" s="1471"/>
      <c r="BB245" s="1471"/>
      <c r="BC245" s="34"/>
      <c r="BD245" s="34"/>
      <c r="BE245" s="34"/>
      <c r="BF245" s="34"/>
      <c r="BG245" s="34"/>
      <c r="BH245" s="34"/>
      <c r="BI245" s="34"/>
      <c r="BJ245" s="34"/>
      <c r="BK245" s="34"/>
      <c r="BL245" s="34"/>
      <c r="BM245" s="34"/>
      <c r="BN245" s="34"/>
      <c r="BO245" s="34"/>
      <c r="BP245" s="34"/>
      <c r="BQ245" s="34"/>
      <c r="BR245" s="34"/>
    </row>
    <row r="246" ht="12.75" customHeight="1">
      <c r="N246" s="1029"/>
      <c r="AB246" s="1029"/>
      <c r="AN246" s="1957"/>
      <c r="AO246" s="1957"/>
      <c r="AP246" s="1471"/>
      <c r="AQ246" s="1471"/>
      <c r="AR246" s="1471"/>
      <c r="AS246" s="1471"/>
      <c r="AT246" s="1471"/>
      <c r="AU246" s="1471"/>
      <c r="AV246" s="1471"/>
      <c r="AW246" s="1471"/>
      <c r="AX246" s="1471"/>
      <c r="AY246" s="1471"/>
      <c r="AZ246" s="1471"/>
      <c r="BA246" s="1471"/>
      <c r="BB246" s="1471"/>
      <c r="BC246" s="34"/>
      <c r="BD246" s="34"/>
      <c r="BE246" s="34"/>
      <c r="BF246" s="34"/>
      <c r="BG246" s="34"/>
      <c r="BH246" s="34"/>
      <c r="BI246" s="34"/>
      <c r="BJ246" s="34"/>
      <c r="BK246" s="34"/>
      <c r="BL246" s="34"/>
      <c r="BM246" s="34"/>
      <c r="BN246" s="34"/>
      <c r="BO246" s="34"/>
      <c r="BP246" s="34"/>
      <c r="BQ246" s="34"/>
      <c r="BR246" s="34"/>
    </row>
    <row r="247" ht="12.75" customHeight="1">
      <c r="N247" s="1029"/>
      <c r="AB247" s="1029"/>
      <c r="AN247" s="1957"/>
      <c r="AO247" s="1957"/>
      <c r="AP247" s="1471"/>
      <c r="AQ247" s="1471"/>
      <c r="AR247" s="1471"/>
      <c r="AS247" s="1471"/>
      <c r="AT247" s="1471"/>
      <c r="AU247" s="1471"/>
      <c r="AV247" s="1471"/>
      <c r="AW247" s="1471"/>
      <c r="AX247" s="1471"/>
      <c r="AY247" s="1471"/>
      <c r="AZ247" s="1471"/>
      <c r="BA247" s="1471"/>
      <c r="BB247" s="1471"/>
      <c r="BC247" s="34"/>
      <c r="BD247" s="34"/>
      <c r="BE247" s="34"/>
      <c r="BF247" s="34"/>
      <c r="BG247" s="34"/>
      <c r="BH247" s="34"/>
      <c r="BI247" s="34"/>
      <c r="BJ247" s="34"/>
      <c r="BK247" s="34"/>
      <c r="BL247" s="34"/>
      <c r="BM247" s="34"/>
      <c r="BN247" s="34"/>
      <c r="BO247" s="34"/>
      <c r="BP247" s="34"/>
      <c r="BQ247" s="34"/>
      <c r="BR247" s="34"/>
    </row>
    <row r="248" ht="12.75" customHeight="1">
      <c r="N248" s="1029"/>
      <c r="AB248" s="1029"/>
      <c r="AN248" s="1957"/>
      <c r="AO248" s="1957"/>
      <c r="AP248" s="1471"/>
      <c r="AQ248" s="1471"/>
      <c r="AR248" s="1471"/>
      <c r="AS248" s="1471"/>
      <c r="AT248" s="1471"/>
      <c r="AU248" s="1471"/>
      <c r="AV248" s="1471"/>
      <c r="AW248" s="1471"/>
      <c r="AX248" s="1471"/>
      <c r="AY248" s="1471"/>
      <c r="AZ248" s="1471"/>
      <c r="BA248" s="1471"/>
      <c r="BB248" s="1471"/>
      <c r="BC248" s="34"/>
      <c r="BD248" s="34"/>
      <c r="BE248" s="34"/>
      <c r="BF248" s="34"/>
      <c r="BG248" s="34"/>
      <c r="BH248" s="34"/>
      <c r="BI248" s="34"/>
      <c r="BJ248" s="34"/>
      <c r="BK248" s="34"/>
      <c r="BL248" s="34"/>
      <c r="BM248" s="34"/>
      <c r="BN248" s="34"/>
      <c r="BO248" s="34"/>
      <c r="BP248" s="34"/>
      <c r="BQ248" s="34"/>
      <c r="BR248" s="34"/>
    </row>
    <row r="249" ht="12.75" customHeight="1">
      <c r="N249" s="1029"/>
      <c r="AB249" s="1029"/>
      <c r="AN249" s="1957"/>
      <c r="AO249" s="1957"/>
      <c r="AP249" s="1471"/>
      <c r="AQ249" s="1471"/>
      <c r="AR249" s="1471"/>
      <c r="AS249" s="1471"/>
      <c r="AT249" s="1471"/>
      <c r="AU249" s="1471"/>
      <c r="AV249" s="1471"/>
      <c r="AW249" s="1471"/>
      <c r="AX249" s="1471"/>
      <c r="AY249" s="1471"/>
      <c r="AZ249" s="1471"/>
      <c r="BA249" s="1471"/>
      <c r="BB249" s="1471"/>
      <c r="BC249" s="34"/>
      <c r="BD249" s="34"/>
      <c r="BE249" s="34"/>
      <c r="BF249" s="34"/>
      <c r="BG249" s="34"/>
      <c r="BH249" s="34"/>
      <c r="BI249" s="34"/>
      <c r="BJ249" s="34"/>
      <c r="BK249" s="34"/>
      <c r="BL249" s="34"/>
      <c r="BM249" s="34"/>
      <c r="BN249" s="34"/>
      <c r="BO249" s="34"/>
      <c r="BP249" s="34"/>
      <c r="BQ249" s="34"/>
      <c r="BR249" s="34"/>
    </row>
    <row r="250" ht="12.75" customHeight="1">
      <c r="N250" s="1029"/>
      <c r="AB250" s="1029"/>
      <c r="AN250" s="1957"/>
      <c r="AO250" s="1957"/>
      <c r="AP250" s="1471"/>
      <c r="AQ250" s="1471"/>
      <c r="AR250" s="1471"/>
      <c r="AS250" s="1471"/>
      <c r="AT250" s="1471"/>
      <c r="AU250" s="1471"/>
      <c r="AV250" s="1471"/>
      <c r="AW250" s="1471"/>
      <c r="AX250" s="1471"/>
      <c r="AY250" s="1471"/>
      <c r="AZ250" s="1471"/>
      <c r="BA250" s="1471"/>
      <c r="BB250" s="1471"/>
      <c r="BC250" s="34"/>
      <c r="BD250" s="34"/>
      <c r="BE250" s="34"/>
      <c r="BF250" s="34"/>
      <c r="BG250" s="34"/>
      <c r="BH250" s="34"/>
      <c r="BI250" s="34"/>
      <c r="BJ250" s="34"/>
      <c r="BK250" s="34"/>
      <c r="BL250" s="34"/>
      <c r="BM250" s="34"/>
      <c r="BN250" s="34"/>
      <c r="BO250" s="34"/>
      <c r="BP250" s="34"/>
      <c r="BQ250" s="34"/>
      <c r="BR250" s="34"/>
    </row>
    <row r="251" ht="12.75" customHeight="1">
      <c r="A251" s="1029"/>
      <c r="B251" s="1029"/>
      <c r="C251" s="1029"/>
      <c r="D251" s="1029"/>
      <c r="E251" s="1029"/>
      <c r="F251" s="1029"/>
      <c r="G251" s="1029"/>
      <c r="H251" s="1029"/>
      <c r="I251" s="1029"/>
      <c r="J251" s="1029"/>
      <c r="K251" s="1029"/>
      <c r="L251" s="1029"/>
      <c r="M251" s="1029"/>
      <c r="N251" s="1029"/>
      <c r="O251" s="1029"/>
      <c r="P251" s="1029"/>
      <c r="Q251" s="1029"/>
      <c r="R251" s="1029"/>
      <c r="S251" s="1029"/>
      <c r="T251" s="1029"/>
      <c r="U251" s="1029"/>
      <c r="V251" s="1029"/>
      <c r="W251" s="1029"/>
      <c r="X251" s="1029"/>
      <c r="Y251" s="1029"/>
      <c r="Z251" s="1029"/>
      <c r="AA251" s="1029"/>
      <c r="AB251" s="1029"/>
      <c r="AC251" s="1029"/>
      <c r="AD251" s="1029"/>
      <c r="AE251" s="1029"/>
      <c r="AF251" s="1029"/>
      <c r="AG251" s="1029"/>
      <c r="AH251" s="1029"/>
      <c r="AI251" s="1029"/>
      <c r="AJ251" s="1029"/>
      <c r="AK251" s="1029"/>
      <c r="AL251" s="1029"/>
      <c r="AM251" s="1029"/>
      <c r="AN251" s="1957"/>
      <c r="AO251" s="1957"/>
      <c r="AP251" s="1471"/>
      <c r="AQ251" s="1471"/>
      <c r="AR251" s="1471"/>
      <c r="AS251" s="1471"/>
      <c r="AT251" s="1471"/>
      <c r="AU251" s="1471"/>
      <c r="AV251" s="1471"/>
      <c r="AW251" s="1471"/>
      <c r="AX251" s="1471"/>
      <c r="AY251" s="1471"/>
      <c r="AZ251" s="1471"/>
      <c r="BA251" s="1471"/>
      <c r="BB251" s="1471"/>
      <c r="BC251" s="34"/>
      <c r="BD251" s="34"/>
      <c r="BE251" s="34"/>
      <c r="BF251" s="34"/>
      <c r="BG251" s="34"/>
      <c r="BH251" s="34"/>
      <c r="BI251" s="34"/>
      <c r="BJ251" s="34"/>
      <c r="BK251" s="34"/>
      <c r="BL251" s="34"/>
      <c r="BM251" s="34"/>
      <c r="BN251" s="34"/>
      <c r="BO251" s="34"/>
      <c r="BP251" s="34"/>
      <c r="BQ251" s="34"/>
      <c r="BR251" s="34"/>
    </row>
    <row r="252" ht="12.75" customHeight="1">
      <c r="A252" s="1769" t="str">
        <f>VLOOKUP("7.jp*g",Fotos!$A$2:$E371,5,FALSE)</f>
        <v/>
      </c>
      <c r="N252" s="1029"/>
      <c r="O252" s="1769" t="str">
        <f>VLOOKUP("8.jp*g",Fotos!$A$2:$E371,5,FALSE)</f>
        <v/>
      </c>
      <c r="AB252" s="1029"/>
      <c r="AC252" s="1769" t="str">
        <f>VLOOKUP("9.jp*g",Fotos!$A$2:$E371,5,FALSE)</f>
        <v/>
      </c>
      <c r="AN252" s="1957"/>
      <c r="AO252" s="1957"/>
      <c r="AP252" s="1471"/>
      <c r="AQ252" s="1471"/>
      <c r="AR252" s="1471"/>
      <c r="AS252" s="1471"/>
      <c r="AT252" s="1471"/>
      <c r="AU252" s="1471"/>
      <c r="AV252" s="1471"/>
      <c r="AW252" s="1471"/>
      <c r="AX252" s="1471"/>
      <c r="AY252" s="1471"/>
      <c r="AZ252" s="1471"/>
      <c r="BA252" s="1471"/>
      <c r="BB252" s="1471"/>
      <c r="BC252" s="34"/>
      <c r="BD252" s="34"/>
      <c r="BE252" s="34"/>
      <c r="BF252" s="34"/>
      <c r="BG252" s="34"/>
      <c r="BH252" s="34"/>
      <c r="BI252" s="34"/>
      <c r="BJ252" s="34"/>
      <c r="BK252" s="34"/>
      <c r="BL252" s="34"/>
      <c r="BM252" s="34"/>
      <c r="BN252" s="34"/>
      <c r="BO252" s="34"/>
      <c r="BP252" s="34"/>
      <c r="BQ252" s="34"/>
      <c r="BR252" s="34"/>
    </row>
    <row r="253" ht="12.75" customHeight="1">
      <c r="N253" s="1029"/>
      <c r="AB253" s="1029"/>
      <c r="AN253" s="1957"/>
      <c r="AO253" s="1957"/>
      <c r="AP253" s="1471"/>
      <c r="AQ253" s="1471"/>
      <c r="AR253" s="1471"/>
      <c r="AS253" s="1471"/>
      <c r="AT253" s="1471"/>
      <c r="AU253" s="1471"/>
      <c r="AV253" s="1471"/>
      <c r="AW253" s="1471"/>
      <c r="AX253" s="1471"/>
      <c r="AY253" s="1471"/>
      <c r="AZ253" s="1471"/>
      <c r="BA253" s="1471"/>
      <c r="BB253" s="1471"/>
      <c r="BC253" s="34"/>
      <c r="BD253" s="34"/>
      <c r="BE253" s="34"/>
      <c r="BF253" s="34"/>
      <c r="BG253" s="34"/>
      <c r="BH253" s="34"/>
      <c r="BI253" s="34"/>
      <c r="BJ253" s="34"/>
      <c r="BK253" s="34"/>
      <c r="BL253" s="34"/>
      <c r="BM253" s="34"/>
      <c r="BN253" s="34"/>
      <c r="BO253" s="34"/>
      <c r="BP253" s="34"/>
      <c r="BQ253" s="34"/>
      <c r="BR253" s="34"/>
    </row>
    <row r="254" ht="12.75" customHeight="1">
      <c r="N254" s="1029"/>
      <c r="AB254" s="1029"/>
      <c r="AN254" s="1957"/>
      <c r="AO254" s="1957"/>
      <c r="AP254" s="1471"/>
      <c r="AQ254" s="1471"/>
      <c r="AR254" s="1471"/>
      <c r="AS254" s="1471"/>
      <c r="AT254" s="1471"/>
      <c r="AU254" s="1471"/>
      <c r="AV254" s="1471"/>
      <c r="AW254" s="1471"/>
      <c r="AX254" s="1471"/>
      <c r="AY254" s="1471"/>
      <c r="AZ254" s="1471"/>
      <c r="BA254" s="1471"/>
      <c r="BB254" s="1471"/>
      <c r="BC254" s="34"/>
      <c r="BD254" s="34"/>
      <c r="BE254" s="34"/>
      <c r="BF254" s="34"/>
      <c r="BG254" s="34"/>
      <c r="BH254" s="34"/>
      <c r="BI254" s="34"/>
      <c r="BJ254" s="34"/>
      <c r="BK254" s="34"/>
      <c r="BL254" s="34"/>
      <c r="BM254" s="34"/>
      <c r="BN254" s="34"/>
      <c r="BO254" s="34"/>
      <c r="BP254" s="34"/>
      <c r="BQ254" s="34"/>
      <c r="BR254" s="34"/>
    </row>
    <row r="255" ht="12.75" customHeight="1">
      <c r="N255" s="1029"/>
      <c r="AB255" s="1029"/>
      <c r="AN255" s="1957"/>
      <c r="AO255" s="1957"/>
      <c r="AP255" s="1471"/>
      <c r="AQ255" s="1471"/>
      <c r="AR255" s="1471"/>
      <c r="AS255" s="1471"/>
      <c r="AT255" s="1471"/>
      <c r="AU255" s="1471"/>
      <c r="AV255" s="1471"/>
      <c r="AW255" s="1471"/>
      <c r="AX255" s="1471"/>
      <c r="AY255" s="1471"/>
      <c r="AZ255" s="1471"/>
      <c r="BA255" s="1471"/>
      <c r="BB255" s="1471"/>
      <c r="BC255" s="34"/>
      <c r="BD255" s="34"/>
      <c r="BE255" s="34"/>
      <c r="BF255" s="34"/>
      <c r="BG255" s="34"/>
      <c r="BH255" s="34"/>
      <c r="BI255" s="34"/>
      <c r="BJ255" s="34"/>
      <c r="BK255" s="34"/>
      <c r="BL255" s="34"/>
      <c r="BM255" s="34"/>
      <c r="BN255" s="34"/>
      <c r="BO255" s="34"/>
      <c r="BP255" s="34"/>
      <c r="BQ255" s="34"/>
      <c r="BR255" s="34"/>
    </row>
    <row r="256" ht="12.75" customHeight="1">
      <c r="N256" s="1029"/>
      <c r="AB256" s="1029"/>
      <c r="AN256" s="1957"/>
      <c r="AO256" s="1957"/>
      <c r="AP256" s="1471"/>
      <c r="AQ256" s="1471"/>
      <c r="AR256" s="1471"/>
      <c r="AS256" s="1471"/>
      <c r="AT256" s="1471"/>
      <c r="AU256" s="1471"/>
      <c r="AV256" s="1471"/>
      <c r="AW256" s="1471"/>
      <c r="AX256" s="1471"/>
      <c r="AY256" s="1471"/>
      <c r="AZ256" s="1471"/>
      <c r="BA256" s="1471"/>
      <c r="BB256" s="1471"/>
      <c r="BC256" s="34"/>
      <c r="BD256" s="34"/>
      <c r="BE256" s="34"/>
      <c r="BF256" s="34"/>
      <c r="BG256" s="34"/>
      <c r="BH256" s="34"/>
      <c r="BI256" s="34"/>
      <c r="BJ256" s="34"/>
      <c r="BK256" s="34"/>
      <c r="BL256" s="34"/>
      <c r="BM256" s="34"/>
      <c r="BN256" s="34"/>
      <c r="BO256" s="34"/>
      <c r="BP256" s="34"/>
      <c r="BQ256" s="34"/>
      <c r="BR256" s="34"/>
    </row>
    <row r="257" ht="12.75" customHeight="1">
      <c r="N257" s="1029"/>
      <c r="AB257" s="1029"/>
      <c r="AN257" s="1957"/>
      <c r="AO257" s="1957"/>
      <c r="AP257" s="1471"/>
      <c r="AQ257" s="1471"/>
      <c r="AR257" s="1471"/>
      <c r="AS257" s="1471"/>
      <c r="AT257" s="1471"/>
      <c r="AU257" s="1471"/>
      <c r="AV257" s="1471"/>
      <c r="AW257" s="1471"/>
      <c r="AX257" s="1471"/>
      <c r="AY257" s="1471"/>
      <c r="AZ257" s="1471"/>
      <c r="BA257" s="1471"/>
      <c r="BB257" s="1471"/>
      <c r="BC257" s="34"/>
      <c r="BD257" s="34"/>
      <c r="BE257" s="34"/>
      <c r="BF257" s="34"/>
      <c r="BG257" s="34"/>
      <c r="BH257" s="34"/>
      <c r="BI257" s="34"/>
      <c r="BJ257" s="34"/>
      <c r="BK257" s="34"/>
      <c r="BL257" s="34"/>
      <c r="BM257" s="34"/>
      <c r="BN257" s="34"/>
      <c r="BO257" s="34"/>
      <c r="BP257" s="34"/>
      <c r="BQ257" s="34"/>
      <c r="BR257" s="34"/>
    </row>
    <row r="258" ht="12.75" customHeight="1">
      <c r="N258" s="1029"/>
      <c r="AB258" s="1029"/>
      <c r="AN258" s="1957"/>
      <c r="AO258" s="1957"/>
      <c r="AP258" s="1471"/>
      <c r="AQ258" s="1471"/>
      <c r="AR258" s="1471"/>
      <c r="AS258" s="1471"/>
      <c r="AT258" s="1471"/>
      <c r="AU258" s="1471"/>
      <c r="AV258" s="1471"/>
      <c r="AW258" s="1471"/>
      <c r="AX258" s="1471"/>
      <c r="AY258" s="1471"/>
      <c r="AZ258" s="1471"/>
      <c r="BA258" s="1471"/>
      <c r="BB258" s="1471"/>
      <c r="BC258" s="34"/>
      <c r="BD258" s="34"/>
      <c r="BE258" s="34"/>
      <c r="BF258" s="34"/>
      <c r="BG258" s="34"/>
      <c r="BH258" s="34"/>
      <c r="BI258" s="34"/>
      <c r="BJ258" s="34"/>
      <c r="BK258" s="34"/>
      <c r="BL258" s="34"/>
      <c r="BM258" s="34"/>
      <c r="BN258" s="34"/>
      <c r="BO258" s="34"/>
      <c r="BP258" s="34"/>
      <c r="BQ258" s="34"/>
      <c r="BR258" s="34"/>
    </row>
    <row r="259" ht="12.75" customHeight="1">
      <c r="N259" s="1029"/>
      <c r="AB259" s="1029"/>
      <c r="AN259" s="1957"/>
      <c r="AO259" s="1957"/>
      <c r="AP259" s="1471"/>
      <c r="AQ259" s="1471"/>
      <c r="AR259" s="1471"/>
      <c r="AS259" s="1471"/>
      <c r="AT259" s="1471"/>
      <c r="AU259" s="1471"/>
      <c r="AV259" s="1471"/>
      <c r="AW259" s="1471"/>
      <c r="AX259" s="1471"/>
      <c r="AY259" s="1471"/>
      <c r="AZ259" s="1471"/>
      <c r="BA259" s="1471"/>
      <c r="BB259" s="1471"/>
      <c r="BC259" s="34"/>
      <c r="BD259" s="34"/>
      <c r="BE259" s="34"/>
      <c r="BF259" s="34"/>
      <c r="BG259" s="34"/>
      <c r="BH259" s="34"/>
      <c r="BI259" s="34"/>
      <c r="BJ259" s="34"/>
      <c r="BK259" s="34"/>
      <c r="BL259" s="34"/>
      <c r="BM259" s="34"/>
      <c r="BN259" s="34"/>
      <c r="BO259" s="34"/>
      <c r="BP259" s="34"/>
      <c r="BQ259" s="34"/>
      <c r="BR259" s="34"/>
    </row>
    <row r="260" ht="12.75" customHeight="1">
      <c r="N260" s="1029"/>
      <c r="AB260" s="1029"/>
      <c r="AN260" s="1957"/>
      <c r="AO260" s="1957"/>
      <c r="AP260" s="1471"/>
      <c r="AQ260" s="1471"/>
      <c r="AR260" s="1471"/>
      <c r="AS260" s="1471"/>
      <c r="AT260" s="1471"/>
      <c r="AU260" s="1471"/>
      <c r="AV260" s="1471"/>
      <c r="AW260" s="1471"/>
      <c r="AX260" s="1471"/>
      <c r="AY260" s="1471"/>
      <c r="AZ260" s="1471"/>
      <c r="BA260" s="1471"/>
      <c r="BB260" s="1471"/>
      <c r="BC260" s="34"/>
      <c r="BD260" s="34"/>
      <c r="BE260" s="34"/>
      <c r="BF260" s="34"/>
      <c r="BG260" s="34"/>
      <c r="BH260" s="34"/>
      <c r="BI260" s="34"/>
      <c r="BJ260" s="34"/>
      <c r="BK260" s="34"/>
      <c r="BL260" s="34"/>
      <c r="BM260" s="34"/>
      <c r="BN260" s="34"/>
      <c r="BO260" s="34"/>
      <c r="BP260" s="34"/>
      <c r="BQ260" s="34"/>
      <c r="BR260" s="34"/>
    </row>
    <row r="261" ht="12.75" customHeight="1">
      <c r="N261" s="1029"/>
      <c r="AB261" s="1029"/>
      <c r="AN261" s="1957"/>
      <c r="AO261" s="1957"/>
      <c r="AP261" s="1471"/>
      <c r="AQ261" s="1471"/>
      <c r="AR261" s="1471"/>
      <c r="AS261" s="1471"/>
      <c r="AT261" s="1471"/>
      <c r="AU261" s="1471"/>
      <c r="AV261" s="1471"/>
      <c r="AW261" s="1471"/>
      <c r="AX261" s="1471"/>
      <c r="AY261" s="1471"/>
      <c r="AZ261" s="1471"/>
      <c r="BA261" s="1471"/>
      <c r="BB261" s="1471"/>
      <c r="BC261" s="34"/>
      <c r="BD261" s="34"/>
      <c r="BE261" s="34"/>
      <c r="BF261" s="34"/>
      <c r="BG261" s="34"/>
      <c r="BH261" s="34"/>
      <c r="BI261" s="34"/>
      <c r="BJ261" s="34"/>
      <c r="BK261" s="34"/>
      <c r="BL261" s="34"/>
      <c r="BM261" s="34"/>
      <c r="BN261" s="34"/>
      <c r="BO261" s="34"/>
      <c r="BP261" s="34"/>
      <c r="BQ261" s="34"/>
      <c r="BR261" s="34"/>
    </row>
    <row r="262" ht="12.75" customHeight="1">
      <c r="N262" s="1029"/>
      <c r="AB262" s="1029"/>
      <c r="AN262" s="1957"/>
      <c r="AO262" s="1957"/>
      <c r="AP262" s="1471"/>
      <c r="AQ262" s="1471"/>
      <c r="AR262" s="1471"/>
      <c r="AS262" s="1471"/>
      <c r="AT262" s="1471"/>
      <c r="AU262" s="1471"/>
      <c r="AV262" s="1471"/>
      <c r="AW262" s="1471"/>
      <c r="AX262" s="1471"/>
      <c r="AY262" s="1471"/>
      <c r="AZ262" s="1471"/>
      <c r="BA262" s="1471"/>
      <c r="BB262" s="1471"/>
      <c r="BC262" s="34"/>
      <c r="BD262" s="34"/>
      <c r="BE262" s="34"/>
      <c r="BF262" s="34"/>
      <c r="BG262" s="34"/>
      <c r="BH262" s="34"/>
      <c r="BI262" s="34"/>
      <c r="BJ262" s="34"/>
      <c r="BK262" s="34"/>
      <c r="BL262" s="34"/>
      <c r="BM262" s="34"/>
      <c r="BN262" s="34"/>
      <c r="BO262" s="34"/>
      <c r="BP262" s="34"/>
      <c r="BQ262" s="34"/>
      <c r="BR262" s="34"/>
    </row>
    <row r="263" ht="12.75" customHeight="1">
      <c r="N263" s="1029"/>
      <c r="AB263" s="1029"/>
      <c r="AN263" s="1957"/>
      <c r="AO263" s="1957"/>
      <c r="AP263" s="1471"/>
      <c r="AQ263" s="1471"/>
      <c r="AR263" s="1471"/>
      <c r="AS263" s="1471"/>
      <c r="AT263" s="1471"/>
      <c r="AU263" s="1471"/>
      <c r="AV263" s="1471"/>
      <c r="AW263" s="1471"/>
      <c r="AX263" s="1471"/>
      <c r="AY263" s="1471"/>
      <c r="AZ263" s="1471"/>
      <c r="BA263" s="1471"/>
      <c r="BB263" s="1471"/>
      <c r="BC263" s="34"/>
      <c r="BD263" s="34"/>
      <c r="BE263" s="34"/>
      <c r="BF263" s="34"/>
      <c r="BG263" s="34"/>
      <c r="BH263" s="34"/>
      <c r="BI263" s="34"/>
      <c r="BJ263" s="34"/>
      <c r="BK263" s="34"/>
      <c r="BL263" s="34"/>
      <c r="BM263" s="34"/>
      <c r="BN263" s="34"/>
      <c r="BO263" s="34"/>
      <c r="BP263" s="34"/>
      <c r="BQ263" s="34"/>
      <c r="BR263" s="34"/>
    </row>
    <row r="264" ht="12.75" customHeight="1">
      <c r="N264" s="1029"/>
      <c r="AB264" s="1029"/>
      <c r="AN264" s="1957"/>
      <c r="AO264" s="1957"/>
      <c r="AP264" s="1471"/>
      <c r="AQ264" s="1471"/>
      <c r="AR264" s="1471"/>
      <c r="AS264" s="1471"/>
      <c r="AT264" s="1471"/>
      <c r="AU264" s="1471"/>
      <c r="AV264" s="1471"/>
      <c r="AW264" s="1471"/>
      <c r="AX264" s="1471"/>
      <c r="AY264" s="1471"/>
      <c r="AZ264" s="1471"/>
      <c r="BA264" s="1471"/>
      <c r="BB264" s="1471"/>
      <c r="BC264" s="34"/>
      <c r="BD264" s="34"/>
      <c r="BE264" s="34"/>
      <c r="BF264" s="34"/>
      <c r="BG264" s="34"/>
      <c r="BH264" s="34"/>
      <c r="BI264" s="34"/>
      <c r="BJ264" s="34"/>
      <c r="BK264" s="34"/>
      <c r="BL264" s="34"/>
      <c r="BM264" s="34"/>
      <c r="BN264" s="34"/>
      <c r="BO264" s="34"/>
      <c r="BP264" s="34"/>
      <c r="BQ264" s="34"/>
      <c r="BR264" s="34"/>
    </row>
    <row r="265" ht="12.7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1957"/>
      <c r="AO265" s="1957"/>
      <c r="AP265" s="1471"/>
      <c r="AQ265" s="1471"/>
      <c r="AR265" s="1471"/>
      <c r="AS265" s="1471"/>
      <c r="AT265" s="1471"/>
      <c r="AU265" s="1471"/>
      <c r="AV265" s="1471"/>
      <c r="AW265" s="1471"/>
      <c r="AX265" s="1471"/>
      <c r="AY265" s="1471"/>
      <c r="AZ265" s="1471"/>
      <c r="BA265" s="1471"/>
      <c r="BB265" s="1471"/>
      <c r="BC265" s="34"/>
      <c r="BD265" s="34"/>
      <c r="BE265" s="34"/>
      <c r="BF265" s="34"/>
      <c r="BG265" s="34"/>
      <c r="BH265" s="34"/>
      <c r="BI265" s="34"/>
      <c r="BJ265" s="34"/>
      <c r="BK265" s="34"/>
      <c r="BL265" s="34"/>
      <c r="BM265" s="34"/>
      <c r="BN265" s="34"/>
      <c r="BO265" s="34"/>
      <c r="BP265" s="34"/>
      <c r="BQ265" s="34"/>
      <c r="BR265" s="34"/>
    </row>
    <row r="266" ht="12.75" customHeight="1">
      <c r="A266" s="1769" t="str">
        <f>VLOOKUP("10.jp*g",Fotos!$A$2:$E371,5,FALSE)</f>
        <v/>
      </c>
      <c r="N266" s="1029"/>
      <c r="O266" s="1769" t="str">
        <f>VLOOKUP("11.jp*g",Fotos!$A$2:$E371,5,FALSE)</f>
        <v/>
      </c>
      <c r="AB266" s="1029"/>
      <c r="AC266" s="1769" t="str">
        <f>VLOOKUP("12.jp*g",Fotos!$A$2:$E371,5,FALSE)</f>
        <v/>
      </c>
      <c r="AN266" s="1957"/>
      <c r="AO266" s="1957"/>
      <c r="AP266" s="1471"/>
      <c r="AQ266" s="1471"/>
      <c r="AR266" s="1471"/>
      <c r="AS266" s="1471"/>
      <c r="AT266" s="1471"/>
      <c r="AU266" s="1471"/>
      <c r="AV266" s="1471"/>
      <c r="AW266" s="1471"/>
      <c r="AX266" s="1471"/>
      <c r="AY266" s="1471"/>
      <c r="AZ266" s="1471"/>
      <c r="BA266" s="1471"/>
      <c r="BB266" s="1471"/>
      <c r="BC266" s="34"/>
      <c r="BD266" s="34"/>
      <c r="BE266" s="34"/>
      <c r="BF266" s="34"/>
      <c r="BG266" s="34"/>
      <c r="BH266" s="34"/>
      <c r="BI266" s="34"/>
      <c r="BJ266" s="34"/>
      <c r="BK266" s="34"/>
      <c r="BL266" s="34"/>
      <c r="BM266" s="34"/>
      <c r="BN266" s="34"/>
      <c r="BO266" s="34"/>
      <c r="BP266" s="34"/>
      <c r="BQ266" s="34"/>
      <c r="BR266" s="34"/>
    </row>
    <row r="267" ht="12.75" customHeight="1">
      <c r="N267" s="1029"/>
      <c r="AB267" s="1029"/>
      <c r="AN267" s="1957"/>
      <c r="AO267" s="1957"/>
      <c r="AP267" s="1471"/>
      <c r="AQ267" s="1471"/>
      <c r="AR267" s="1471"/>
      <c r="AS267" s="1471"/>
      <c r="AT267" s="1471"/>
      <c r="AU267" s="1471"/>
      <c r="AV267" s="1471"/>
      <c r="AW267" s="1471"/>
      <c r="AX267" s="1471"/>
      <c r="AY267" s="1471"/>
      <c r="AZ267" s="1471"/>
      <c r="BA267" s="1471"/>
      <c r="BB267" s="1471"/>
      <c r="BC267" s="34"/>
      <c r="BD267" s="34"/>
      <c r="BE267" s="34"/>
      <c r="BF267" s="34"/>
      <c r="BG267" s="34"/>
      <c r="BH267" s="34"/>
      <c r="BI267" s="34"/>
      <c r="BJ267" s="34"/>
      <c r="BK267" s="34"/>
      <c r="BL267" s="34"/>
      <c r="BM267" s="34"/>
      <c r="BN267" s="34"/>
      <c r="BO267" s="34"/>
      <c r="BP267" s="34"/>
      <c r="BQ267" s="34"/>
      <c r="BR267" s="34"/>
    </row>
    <row r="268" ht="12.75" customHeight="1">
      <c r="N268" s="1029"/>
      <c r="AB268" s="1029"/>
      <c r="AN268" s="1957"/>
      <c r="AO268" s="1957"/>
      <c r="AP268" s="1471"/>
      <c r="AQ268" s="1471"/>
      <c r="AR268" s="1471"/>
      <c r="AS268" s="1471"/>
      <c r="AT268" s="1471"/>
      <c r="AU268" s="1471"/>
      <c r="AV268" s="1471"/>
      <c r="AW268" s="1471"/>
      <c r="AX268" s="1471"/>
      <c r="AY268" s="1471"/>
      <c r="AZ268" s="1471"/>
      <c r="BA268" s="1471"/>
      <c r="BB268" s="1471"/>
      <c r="BC268" s="34"/>
      <c r="BD268" s="34"/>
      <c r="BE268" s="34"/>
      <c r="BF268" s="34"/>
      <c r="BG268" s="34"/>
      <c r="BH268" s="34"/>
      <c r="BI268" s="34"/>
      <c r="BJ268" s="34"/>
      <c r="BK268" s="34"/>
      <c r="BL268" s="34"/>
      <c r="BM268" s="34"/>
      <c r="BN268" s="34"/>
      <c r="BO268" s="34"/>
      <c r="BP268" s="34"/>
      <c r="BQ268" s="34"/>
      <c r="BR268" s="34"/>
    </row>
    <row r="269" ht="12.75" customHeight="1">
      <c r="N269" s="1029"/>
      <c r="AB269" s="1029"/>
      <c r="AN269" s="1957"/>
      <c r="AO269" s="1957"/>
      <c r="AP269" s="1471"/>
      <c r="AQ269" s="1471"/>
      <c r="AR269" s="1471"/>
      <c r="AS269" s="1471"/>
      <c r="AT269" s="1471"/>
      <c r="AU269" s="1471"/>
      <c r="AV269" s="1471"/>
      <c r="AW269" s="1471"/>
      <c r="AX269" s="1471"/>
      <c r="AY269" s="1471"/>
      <c r="AZ269" s="1471"/>
      <c r="BA269" s="1471"/>
      <c r="BB269" s="1471"/>
      <c r="BC269" s="34"/>
      <c r="BD269" s="34"/>
      <c r="BE269" s="34"/>
      <c r="BF269" s="34"/>
      <c r="BG269" s="34"/>
      <c r="BH269" s="34"/>
      <c r="BI269" s="34"/>
      <c r="BJ269" s="34"/>
      <c r="BK269" s="34"/>
      <c r="BL269" s="34"/>
      <c r="BM269" s="34"/>
      <c r="BN269" s="34"/>
      <c r="BO269" s="34"/>
      <c r="BP269" s="34"/>
      <c r="BQ269" s="34"/>
      <c r="BR269" s="34"/>
    </row>
    <row r="270" ht="12.75" customHeight="1">
      <c r="N270" s="1029"/>
      <c r="AB270" s="1029"/>
      <c r="AN270" s="1957"/>
      <c r="AO270" s="1957"/>
      <c r="AP270" s="1471"/>
      <c r="AQ270" s="1471"/>
      <c r="AR270" s="1471"/>
      <c r="AS270" s="1471"/>
      <c r="AT270" s="1471"/>
      <c r="AU270" s="1471"/>
      <c r="AV270" s="1471"/>
      <c r="AW270" s="1471"/>
      <c r="AX270" s="1471"/>
      <c r="AY270" s="1471"/>
      <c r="AZ270" s="1471"/>
      <c r="BA270" s="1471"/>
      <c r="BB270" s="1471"/>
      <c r="BC270" s="34"/>
      <c r="BD270" s="34"/>
      <c r="BE270" s="34"/>
      <c r="BF270" s="34"/>
      <c r="BG270" s="34"/>
      <c r="BH270" s="34"/>
      <c r="BI270" s="34"/>
      <c r="BJ270" s="34"/>
      <c r="BK270" s="34"/>
      <c r="BL270" s="34"/>
      <c r="BM270" s="34"/>
      <c r="BN270" s="34"/>
      <c r="BO270" s="34"/>
      <c r="BP270" s="34"/>
      <c r="BQ270" s="34"/>
      <c r="BR270" s="34"/>
    </row>
    <row r="271" ht="12.75" customHeight="1">
      <c r="N271" s="1029"/>
      <c r="AB271" s="1029"/>
      <c r="AN271" s="1957"/>
      <c r="AO271" s="1957"/>
      <c r="AP271" s="1471"/>
      <c r="AQ271" s="1471"/>
      <c r="AR271" s="1471"/>
      <c r="AS271" s="1471"/>
      <c r="AT271" s="1471"/>
      <c r="AU271" s="1471"/>
      <c r="AV271" s="1471"/>
      <c r="AW271" s="1471"/>
      <c r="AX271" s="1471"/>
      <c r="AY271" s="1471"/>
      <c r="AZ271" s="1471"/>
      <c r="BA271" s="1471"/>
      <c r="BB271" s="1471"/>
      <c r="BC271" s="34"/>
      <c r="BD271" s="34"/>
      <c r="BE271" s="34"/>
      <c r="BF271" s="34"/>
      <c r="BG271" s="34"/>
      <c r="BH271" s="34"/>
      <c r="BI271" s="34"/>
      <c r="BJ271" s="34"/>
      <c r="BK271" s="34"/>
      <c r="BL271" s="34"/>
      <c r="BM271" s="34"/>
      <c r="BN271" s="34"/>
      <c r="BO271" s="34"/>
      <c r="BP271" s="34"/>
      <c r="BQ271" s="34"/>
      <c r="BR271" s="34"/>
    </row>
    <row r="272" ht="12.75" customHeight="1">
      <c r="N272" s="1029"/>
      <c r="AB272" s="1029"/>
      <c r="AN272" s="1957"/>
      <c r="AO272" s="1957"/>
      <c r="AP272" s="1471"/>
      <c r="AQ272" s="1471"/>
      <c r="AR272" s="1471"/>
      <c r="AS272" s="1471"/>
      <c r="AT272" s="1471"/>
      <c r="AU272" s="1471"/>
      <c r="AV272" s="1471"/>
      <c r="AW272" s="1471"/>
      <c r="AX272" s="1471"/>
      <c r="AY272" s="1471"/>
      <c r="AZ272" s="1471"/>
      <c r="BA272" s="1471"/>
      <c r="BB272" s="1471"/>
      <c r="BC272" s="34"/>
      <c r="BD272" s="34"/>
      <c r="BE272" s="34"/>
      <c r="BF272" s="34"/>
      <c r="BG272" s="34"/>
      <c r="BH272" s="34"/>
      <c r="BI272" s="34"/>
      <c r="BJ272" s="34"/>
      <c r="BK272" s="34"/>
      <c r="BL272" s="34"/>
      <c r="BM272" s="34"/>
      <c r="BN272" s="34"/>
      <c r="BO272" s="34"/>
      <c r="BP272" s="34"/>
      <c r="BQ272" s="34"/>
      <c r="BR272" s="34"/>
    </row>
    <row r="273" ht="12.75" customHeight="1">
      <c r="N273" s="1029"/>
      <c r="AB273" s="1029"/>
      <c r="AN273" s="1957"/>
      <c r="AO273" s="1957"/>
      <c r="AP273" s="1471"/>
      <c r="AQ273" s="1471"/>
      <c r="AR273" s="1471"/>
      <c r="AS273" s="1471"/>
      <c r="AT273" s="1471"/>
      <c r="AU273" s="1471"/>
      <c r="AV273" s="1471"/>
      <c r="AW273" s="1471"/>
      <c r="AX273" s="1471"/>
      <c r="AY273" s="1471"/>
      <c r="AZ273" s="1471"/>
      <c r="BA273" s="1471"/>
      <c r="BB273" s="1471"/>
      <c r="BC273" s="34"/>
      <c r="BD273" s="34"/>
      <c r="BE273" s="34"/>
      <c r="BF273" s="34"/>
      <c r="BG273" s="34"/>
      <c r="BH273" s="34"/>
      <c r="BI273" s="34"/>
      <c r="BJ273" s="34"/>
      <c r="BK273" s="34"/>
      <c r="BL273" s="34"/>
      <c r="BM273" s="34"/>
      <c r="BN273" s="34"/>
      <c r="BO273" s="34"/>
      <c r="BP273" s="34"/>
      <c r="BQ273" s="34"/>
      <c r="BR273" s="34"/>
    </row>
    <row r="274" ht="12.75" customHeight="1">
      <c r="N274" s="1029"/>
      <c r="AB274" s="1029"/>
      <c r="AN274" s="1957"/>
      <c r="AO274" s="1957"/>
      <c r="AP274" s="1471"/>
      <c r="AQ274" s="1471"/>
      <c r="AR274" s="1471"/>
      <c r="AS274" s="1471"/>
      <c r="AT274" s="1471"/>
      <c r="AU274" s="1471"/>
      <c r="AV274" s="1471"/>
      <c r="AW274" s="1471"/>
      <c r="AX274" s="1471"/>
      <c r="AY274" s="1471"/>
      <c r="AZ274" s="1471"/>
      <c r="BA274" s="1471"/>
      <c r="BB274" s="1471"/>
      <c r="BC274" s="34"/>
      <c r="BD274" s="34"/>
      <c r="BE274" s="34"/>
      <c r="BF274" s="34"/>
      <c r="BG274" s="34"/>
      <c r="BH274" s="34"/>
      <c r="BI274" s="34"/>
      <c r="BJ274" s="34"/>
      <c r="BK274" s="34"/>
      <c r="BL274" s="34"/>
      <c r="BM274" s="34"/>
      <c r="BN274" s="34"/>
      <c r="BO274" s="34"/>
      <c r="BP274" s="34"/>
      <c r="BQ274" s="34"/>
      <c r="BR274" s="34"/>
    </row>
    <row r="275" ht="12.75" customHeight="1">
      <c r="N275" s="1029"/>
      <c r="AB275" s="1029"/>
      <c r="AN275" s="1957"/>
      <c r="AO275" s="1957"/>
      <c r="AP275" s="1471"/>
      <c r="AQ275" s="1471"/>
      <c r="AR275" s="1471"/>
      <c r="AS275" s="1471"/>
      <c r="AT275" s="1471"/>
      <c r="AU275" s="1471"/>
      <c r="AV275" s="1471"/>
      <c r="AW275" s="1471"/>
      <c r="AX275" s="1471"/>
      <c r="AY275" s="1471"/>
      <c r="AZ275" s="1471"/>
      <c r="BA275" s="1471"/>
      <c r="BB275" s="1471"/>
      <c r="BC275" s="34"/>
      <c r="BD275" s="34"/>
      <c r="BE275" s="34"/>
      <c r="BF275" s="34"/>
      <c r="BG275" s="34"/>
      <c r="BH275" s="34"/>
      <c r="BI275" s="34"/>
      <c r="BJ275" s="34"/>
      <c r="BK275" s="34"/>
      <c r="BL275" s="34"/>
      <c r="BM275" s="34"/>
      <c r="BN275" s="34"/>
      <c r="BO275" s="34"/>
      <c r="BP275" s="34"/>
      <c r="BQ275" s="34"/>
      <c r="BR275" s="34"/>
    </row>
    <row r="276" ht="12.75" customHeight="1">
      <c r="N276" s="1029"/>
      <c r="AB276" s="1029"/>
      <c r="AN276" s="1957"/>
      <c r="AO276" s="1957"/>
      <c r="AP276" s="1471"/>
      <c r="AQ276" s="1471"/>
      <c r="AR276" s="1471"/>
      <c r="AS276" s="1471"/>
      <c r="AT276" s="1471"/>
      <c r="AU276" s="1471"/>
      <c r="AV276" s="1471"/>
      <c r="AW276" s="1471"/>
      <c r="AX276" s="1471"/>
      <c r="AY276" s="1471"/>
      <c r="AZ276" s="1471"/>
      <c r="BA276" s="1471"/>
      <c r="BB276" s="1471"/>
      <c r="BC276" s="34"/>
      <c r="BD276" s="34"/>
      <c r="BE276" s="34"/>
      <c r="BF276" s="34"/>
      <c r="BG276" s="34"/>
      <c r="BH276" s="34"/>
      <c r="BI276" s="34"/>
      <c r="BJ276" s="34"/>
      <c r="BK276" s="34"/>
      <c r="BL276" s="34"/>
      <c r="BM276" s="34"/>
      <c r="BN276" s="34"/>
      <c r="BO276" s="34"/>
      <c r="BP276" s="34"/>
      <c r="BQ276" s="34"/>
      <c r="BR276" s="34"/>
    </row>
    <row r="277" ht="12.75" customHeight="1">
      <c r="N277" s="1029"/>
      <c r="AB277" s="1029"/>
      <c r="AN277" s="1957"/>
      <c r="AO277" s="1957"/>
      <c r="AP277" s="1471"/>
      <c r="AQ277" s="1471"/>
      <c r="AR277" s="1471"/>
      <c r="AS277" s="1471"/>
      <c r="AT277" s="1471"/>
      <c r="AU277" s="1471"/>
      <c r="AV277" s="1471"/>
      <c r="AW277" s="1471"/>
      <c r="AX277" s="1471"/>
      <c r="AY277" s="1471"/>
      <c r="AZ277" s="1471"/>
      <c r="BA277" s="1471"/>
      <c r="BB277" s="1471"/>
      <c r="BC277" s="34"/>
      <c r="BD277" s="34"/>
      <c r="BE277" s="34"/>
      <c r="BF277" s="34"/>
      <c r="BG277" s="34"/>
      <c r="BH277" s="34"/>
      <c r="BI277" s="34"/>
      <c r="BJ277" s="34"/>
      <c r="BK277" s="34"/>
      <c r="BL277" s="34"/>
      <c r="BM277" s="34"/>
      <c r="BN277" s="34"/>
      <c r="BO277" s="34"/>
      <c r="BP277" s="34"/>
      <c r="BQ277" s="34"/>
      <c r="BR277" s="34"/>
    </row>
    <row r="278" ht="12.75" customHeight="1">
      <c r="N278" s="1029"/>
      <c r="AB278" s="1029"/>
      <c r="AN278" s="1957"/>
      <c r="AO278" s="1957"/>
      <c r="AP278" s="1471"/>
      <c r="AQ278" s="1471"/>
      <c r="AR278" s="1471"/>
      <c r="AS278" s="1471"/>
      <c r="AT278" s="1471"/>
      <c r="AU278" s="1471"/>
      <c r="AV278" s="1471"/>
      <c r="AW278" s="1471"/>
      <c r="AX278" s="1471"/>
      <c r="AY278" s="1471"/>
      <c r="AZ278" s="1471"/>
      <c r="BA278" s="1471"/>
      <c r="BB278" s="1471"/>
      <c r="BC278" s="34"/>
      <c r="BD278" s="34"/>
      <c r="BE278" s="34"/>
      <c r="BF278" s="34"/>
      <c r="BG278" s="34"/>
      <c r="BH278" s="34"/>
      <c r="BI278" s="34"/>
      <c r="BJ278" s="34"/>
      <c r="BK278" s="34"/>
      <c r="BL278" s="34"/>
      <c r="BM278" s="34"/>
      <c r="BN278" s="34"/>
      <c r="BO278" s="34"/>
      <c r="BP278" s="34"/>
      <c r="BQ278" s="34"/>
      <c r="BR278" s="34"/>
    </row>
    <row r="279" ht="12.7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1957"/>
      <c r="AO279" s="1957"/>
      <c r="AP279" s="1471"/>
      <c r="AQ279" s="1471"/>
      <c r="AR279" s="1471"/>
      <c r="AS279" s="1471"/>
      <c r="AT279" s="1471"/>
      <c r="AU279" s="1471"/>
      <c r="AV279" s="1471"/>
      <c r="AW279" s="1471"/>
      <c r="AX279" s="1471"/>
      <c r="AY279" s="1471"/>
      <c r="AZ279" s="1471"/>
      <c r="BA279" s="1471"/>
      <c r="BB279" s="1471"/>
      <c r="BC279" s="34"/>
      <c r="BD279" s="34"/>
      <c r="BE279" s="34"/>
      <c r="BF279" s="34"/>
      <c r="BG279" s="34"/>
      <c r="BH279" s="34"/>
      <c r="BI279" s="34"/>
      <c r="BJ279" s="34"/>
      <c r="BK279" s="34"/>
      <c r="BL279" s="34"/>
      <c r="BM279" s="34"/>
      <c r="BN279" s="34"/>
      <c r="BO279" s="34"/>
      <c r="BP279" s="34"/>
      <c r="BQ279" s="34"/>
      <c r="BR279" s="34"/>
    </row>
    <row r="280" ht="12.75" customHeight="1">
      <c r="A280" s="1769" t="str">
        <f>VLOOKUP("13.jp*g",Fotos!$A$2:$E371,5,FALSE)</f>
        <v/>
      </c>
      <c r="N280" s="1029"/>
      <c r="O280" s="1769" t="str">
        <f>VLOOKUP("14.jp*g",Fotos!$A$2:$E371,5,FALSE)</f>
        <v/>
      </c>
      <c r="AB280" s="1029"/>
      <c r="AC280" s="1769" t="str">
        <f>VLOOKUP("15.jp*g",Fotos!$A$2:$E371,5,FALSE)</f>
        <v/>
      </c>
      <c r="AN280" s="1957"/>
      <c r="AO280" s="1957"/>
      <c r="AP280" s="1471"/>
      <c r="AQ280" s="1471"/>
      <c r="AR280" s="1471"/>
      <c r="AS280" s="1471"/>
      <c r="AT280" s="1471"/>
      <c r="AU280" s="1471"/>
      <c r="AV280" s="1471"/>
      <c r="AW280" s="1471"/>
      <c r="AX280" s="1471"/>
      <c r="AY280" s="1471"/>
      <c r="AZ280" s="1471"/>
      <c r="BA280" s="1471"/>
      <c r="BB280" s="1471"/>
      <c r="BC280" s="34"/>
      <c r="BD280" s="34"/>
      <c r="BE280" s="34"/>
      <c r="BF280" s="34"/>
      <c r="BG280" s="34"/>
      <c r="BH280" s="34"/>
      <c r="BI280" s="34"/>
      <c r="BJ280" s="34"/>
      <c r="BK280" s="34"/>
      <c r="BL280" s="34"/>
      <c r="BM280" s="34"/>
      <c r="BN280" s="34"/>
      <c r="BO280" s="34"/>
      <c r="BP280" s="34"/>
      <c r="BQ280" s="34"/>
      <c r="BR280" s="34"/>
    </row>
    <row r="281" ht="12.75" customHeight="1">
      <c r="N281" s="1029"/>
      <c r="AB281" s="1029"/>
      <c r="AN281" s="1957"/>
      <c r="AO281" s="1957"/>
      <c r="AP281" s="1471"/>
      <c r="AQ281" s="1471"/>
      <c r="AR281" s="1471"/>
      <c r="AS281" s="1471"/>
      <c r="AT281" s="1471"/>
      <c r="AU281" s="1471"/>
      <c r="AV281" s="1471"/>
      <c r="AW281" s="1471"/>
      <c r="AX281" s="1471"/>
      <c r="AY281" s="1471"/>
      <c r="AZ281" s="1471"/>
      <c r="BA281" s="1471"/>
      <c r="BB281" s="1471"/>
      <c r="BC281" s="34"/>
      <c r="BD281" s="34"/>
      <c r="BE281" s="34"/>
      <c r="BF281" s="34"/>
      <c r="BG281" s="34"/>
      <c r="BH281" s="34"/>
      <c r="BI281" s="34"/>
      <c r="BJ281" s="34"/>
      <c r="BK281" s="34"/>
      <c r="BL281" s="34"/>
      <c r="BM281" s="34"/>
      <c r="BN281" s="34"/>
      <c r="BO281" s="34"/>
      <c r="BP281" s="34"/>
      <c r="BQ281" s="34"/>
      <c r="BR281" s="34"/>
    </row>
    <row r="282" ht="12.75" customHeight="1">
      <c r="N282" s="1029"/>
      <c r="AB282" s="1029"/>
      <c r="AN282" s="1957"/>
      <c r="AO282" s="1957"/>
      <c r="AP282" s="1471"/>
      <c r="AQ282" s="1471"/>
      <c r="AR282" s="1471"/>
      <c r="AS282" s="1471"/>
      <c r="AT282" s="1471"/>
      <c r="AU282" s="1471"/>
      <c r="AV282" s="1471"/>
      <c r="AW282" s="1471"/>
      <c r="AX282" s="1471"/>
      <c r="AY282" s="1471"/>
      <c r="AZ282" s="1471"/>
      <c r="BA282" s="1471"/>
      <c r="BB282" s="1471"/>
      <c r="BC282" s="34"/>
      <c r="BD282" s="34"/>
      <c r="BE282" s="34"/>
      <c r="BF282" s="34"/>
      <c r="BG282" s="34"/>
      <c r="BH282" s="34"/>
      <c r="BI282" s="34"/>
      <c r="BJ282" s="34"/>
      <c r="BK282" s="34"/>
      <c r="BL282" s="34"/>
      <c r="BM282" s="34"/>
      <c r="BN282" s="34"/>
      <c r="BO282" s="34"/>
      <c r="BP282" s="34"/>
      <c r="BQ282" s="34"/>
      <c r="BR282" s="34"/>
    </row>
    <row r="283" ht="12.75" customHeight="1">
      <c r="N283" s="1029"/>
      <c r="AB283" s="1029"/>
      <c r="AN283" s="1957"/>
      <c r="AO283" s="1957"/>
      <c r="AP283" s="1471"/>
      <c r="AQ283" s="1471"/>
      <c r="AR283" s="1471"/>
      <c r="AS283" s="1471"/>
      <c r="AT283" s="1471"/>
      <c r="AU283" s="1471"/>
      <c r="AV283" s="1471"/>
      <c r="AW283" s="1471"/>
      <c r="AX283" s="1471"/>
      <c r="AY283" s="1471"/>
      <c r="AZ283" s="1471"/>
      <c r="BA283" s="1471"/>
      <c r="BB283" s="1471"/>
      <c r="BC283" s="34"/>
      <c r="BD283" s="34"/>
      <c r="BE283" s="34"/>
      <c r="BF283" s="34"/>
      <c r="BG283" s="34"/>
      <c r="BH283" s="34"/>
      <c r="BI283" s="34"/>
      <c r="BJ283" s="34"/>
      <c r="BK283" s="34"/>
      <c r="BL283" s="34"/>
      <c r="BM283" s="34"/>
      <c r="BN283" s="34"/>
      <c r="BO283" s="34"/>
      <c r="BP283" s="34"/>
      <c r="BQ283" s="34"/>
      <c r="BR283" s="34"/>
    </row>
    <row r="284" ht="12.75" customHeight="1">
      <c r="N284" s="1029"/>
      <c r="AB284" s="1029"/>
      <c r="AN284" s="1957"/>
      <c r="AO284" s="1957"/>
      <c r="AP284" s="1471"/>
      <c r="AQ284" s="1471"/>
      <c r="AR284" s="1471"/>
      <c r="AS284" s="1471"/>
      <c r="AT284" s="1471"/>
      <c r="AU284" s="1471"/>
      <c r="AV284" s="1471"/>
      <c r="AW284" s="1471"/>
      <c r="AX284" s="1471"/>
      <c r="AY284" s="1471"/>
      <c r="AZ284" s="1471"/>
      <c r="BA284" s="1471"/>
      <c r="BB284" s="1471"/>
      <c r="BC284" s="34"/>
      <c r="BD284" s="34"/>
      <c r="BE284" s="34"/>
      <c r="BF284" s="34"/>
      <c r="BG284" s="34"/>
      <c r="BH284" s="34"/>
      <c r="BI284" s="34"/>
      <c r="BJ284" s="34"/>
      <c r="BK284" s="34"/>
      <c r="BL284" s="34"/>
      <c r="BM284" s="34"/>
      <c r="BN284" s="34"/>
      <c r="BO284" s="34"/>
      <c r="BP284" s="34"/>
      <c r="BQ284" s="34"/>
      <c r="BR284" s="34"/>
    </row>
    <row r="285" ht="12.75" customHeight="1">
      <c r="N285" s="1029"/>
      <c r="AB285" s="1029"/>
      <c r="AN285" s="1957"/>
      <c r="AO285" s="1957"/>
      <c r="AP285" s="1471"/>
      <c r="AQ285" s="1471"/>
      <c r="AR285" s="1471"/>
      <c r="AS285" s="1471"/>
      <c r="AT285" s="1471"/>
      <c r="AU285" s="1471"/>
      <c r="AV285" s="1471"/>
      <c r="AW285" s="1471"/>
      <c r="AX285" s="1471"/>
      <c r="AY285" s="1471"/>
      <c r="AZ285" s="1471"/>
      <c r="BA285" s="1471"/>
      <c r="BB285" s="1471"/>
      <c r="BC285" s="34"/>
      <c r="BD285" s="34"/>
      <c r="BE285" s="34"/>
      <c r="BF285" s="34"/>
      <c r="BG285" s="34"/>
      <c r="BH285" s="34"/>
      <c r="BI285" s="34"/>
      <c r="BJ285" s="34"/>
      <c r="BK285" s="34"/>
      <c r="BL285" s="34"/>
      <c r="BM285" s="34"/>
      <c r="BN285" s="34"/>
      <c r="BO285" s="34"/>
      <c r="BP285" s="34"/>
      <c r="BQ285" s="34"/>
      <c r="BR285" s="34"/>
    </row>
    <row r="286" ht="12.75" customHeight="1">
      <c r="N286" s="1029"/>
      <c r="AB286" s="1029"/>
      <c r="AN286" s="1957"/>
      <c r="AO286" s="1957"/>
      <c r="AP286" s="1471"/>
      <c r="AQ286" s="1471"/>
      <c r="AR286" s="1471"/>
      <c r="AS286" s="1471"/>
      <c r="AT286" s="1471"/>
      <c r="AU286" s="1471"/>
      <c r="AV286" s="1471"/>
      <c r="AW286" s="1471"/>
      <c r="AX286" s="1471"/>
      <c r="AY286" s="1471"/>
      <c r="AZ286" s="1471"/>
      <c r="BA286" s="1471"/>
      <c r="BB286" s="1471"/>
      <c r="BC286" s="34"/>
      <c r="BD286" s="34"/>
      <c r="BE286" s="34"/>
      <c r="BF286" s="34"/>
      <c r="BG286" s="34"/>
      <c r="BH286" s="34"/>
      <c r="BI286" s="34"/>
      <c r="BJ286" s="34"/>
      <c r="BK286" s="34"/>
      <c r="BL286" s="34"/>
      <c r="BM286" s="34"/>
      <c r="BN286" s="34"/>
      <c r="BO286" s="34"/>
      <c r="BP286" s="34"/>
      <c r="BQ286" s="34"/>
      <c r="BR286" s="34"/>
    </row>
    <row r="287" ht="12.75" customHeight="1">
      <c r="N287" s="1029"/>
      <c r="AB287" s="1029"/>
      <c r="AN287" s="1957"/>
      <c r="AO287" s="1957"/>
      <c r="AP287" s="1471"/>
      <c r="AQ287" s="1471"/>
      <c r="AR287" s="1471"/>
      <c r="AS287" s="1471"/>
      <c r="AT287" s="1471"/>
      <c r="AU287" s="1471"/>
      <c r="AV287" s="1471"/>
      <c r="AW287" s="1471"/>
      <c r="AX287" s="1471"/>
      <c r="AY287" s="1471"/>
      <c r="AZ287" s="1471"/>
      <c r="BA287" s="1471"/>
      <c r="BB287" s="1471"/>
      <c r="BC287" s="34"/>
      <c r="BD287" s="34"/>
      <c r="BE287" s="34"/>
      <c r="BF287" s="34"/>
      <c r="BG287" s="34"/>
      <c r="BH287" s="34"/>
      <c r="BI287" s="34"/>
      <c r="BJ287" s="34"/>
      <c r="BK287" s="34"/>
      <c r="BL287" s="34"/>
      <c r="BM287" s="34"/>
      <c r="BN287" s="34"/>
      <c r="BO287" s="34"/>
      <c r="BP287" s="34"/>
      <c r="BQ287" s="34"/>
      <c r="BR287" s="34"/>
    </row>
    <row r="288" ht="12.75" customHeight="1">
      <c r="N288" s="1029"/>
      <c r="AB288" s="1029"/>
      <c r="AN288" s="1957"/>
      <c r="AO288" s="1957"/>
      <c r="AP288" s="1471"/>
      <c r="AQ288" s="1471"/>
      <c r="AR288" s="1471"/>
      <c r="AS288" s="1471"/>
      <c r="AT288" s="1471"/>
      <c r="AU288" s="1471"/>
      <c r="AV288" s="1471"/>
      <c r="AW288" s="1471"/>
      <c r="AX288" s="1471"/>
      <c r="AY288" s="1471"/>
      <c r="AZ288" s="1471"/>
      <c r="BA288" s="1471"/>
      <c r="BB288" s="1471"/>
      <c r="BC288" s="34"/>
      <c r="BD288" s="34"/>
      <c r="BE288" s="34"/>
      <c r="BF288" s="34"/>
      <c r="BG288" s="34"/>
      <c r="BH288" s="34"/>
      <c r="BI288" s="34"/>
      <c r="BJ288" s="34"/>
      <c r="BK288" s="34"/>
      <c r="BL288" s="34"/>
      <c r="BM288" s="34"/>
      <c r="BN288" s="34"/>
      <c r="BO288" s="34"/>
      <c r="BP288" s="34"/>
      <c r="BQ288" s="34"/>
      <c r="BR288" s="34"/>
    </row>
    <row r="289" ht="12.75" customHeight="1">
      <c r="N289" s="1029"/>
      <c r="AB289" s="1029"/>
      <c r="AN289" s="1957"/>
      <c r="AO289" s="1957"/>
      <c r="AP289" s="1471"/>
      <c r="AQ289" s="1471"/>
      <c r="AR289" s="1471"/>
      <c r="AS289" s="1471"/>
      <c r="AT289" s="1471"/>
      <c r="AU289" s="1471"/>
      <c r="AV289" s="1471"/>
      <c r="AW289" s="1471"/>
      <c r="AX289" s="1471"/>
      <c r="AY289" s="1471"/>
      <c r="AZ289" s="1471"/>
      <c r="BA289" s="1471"/>
      <c r="BB289" s="1471"/>
      <c r="BC289" s="34"/>
      <c r="BD289" s="34"/>
      <c r="BE289" s="34"/>
      <c r="BF289" s="34"/>
      <c r="BG289" s="34"/>
      <c r="BH289" s="34"/>
      <c r="BI289" s="34"/>
      <c r="BJ289" s="34"/>
      <c r="BK289" s="34"/>
      <c r="BL289" s="34"/>
      <c r="BM289" s="34"/>
      <c r="BN289" s="34"/>
      <c r="BO289" s="34"/>
      <c r="BP289" s="34"/>
      <c r="BQ289" s="34"/>
      <c r="BR289" s="34"/>
    </row>
    <row r="290" ht="12.75" customHeight="1">
      <c r="N290" s="1029"/>
      <c r="AB290" s="1029"/>
      <c r="AN290" s="1957"/>
      <c r="AO290" s="1957"/>
      <c r="AP290" s="1471"/>
      <c r="AQ290" s="1471"/>
      <c r="AR290" s="1471"/>
      <c r="AS290" s="1471"/>
      <c r="AT290" s="1471"/>
      <c r="AU290" s="1471"/>
      <c r="AV290" s="1471"/>
      <c r="AW290" s="1471"/>
      <c r="AX290" s="1471"/>
      <c r="AY290" s="1471"/>
      <c r="AZ290" s="1471"/>
      <c r="BA290" s="1471"/>
      <c r="BB290" s="1471"/>
      <c r="BC290" s="34"/>
      <c r="BD290" s="34"/>
      <c r="BE290" s="34"/>
      <c r="BF290" s="34"/>
      <c r="BG290" s="34"/>
      <c r="BH290" s="34"/>
      <c r="BI290" s="34"/>
      <c r="BJ290" s="34"/>
      <c r="BK290" s="34"/>
      <c r="BL290" s="34"/>
      <c r="BM290" s="34"/>
      <c r="BN290" s="34"/>
      <c r="BO290" s="34"/>
      <c r="BP290" s="34"/>
      <c r="BQ290" s="34"/>
      <c r="BR290" s="34"/>
    </row>
    <row r="291" ht="12.75" customHeight="1">
      <c r="N291" s="1029"/>
      <c r="AB291" s="1029"/>
      <c r="AN291" s="1957"/>
      <c r="AO291" s="1957"/>
      <c r="AP291" s="1471"/>
      <c r="AQ291" s="1471"/>
      <c r="AR291" s="1471"/>
      <c r="AS291" s="1471"/>
      <c r="AT291" s="1471"/>
      <c r="AU291" s="1471"/>
      <c r="AV291" s="1471"/>
      <c r="AW291" s="1471"/>
      <c r="AX291" s="1471"/>
      <c r="AY291" s="1471"/>
      <c r="AZ291" s="1471"/>
      <c r="BA291" s="1471"/>
      <c r="BB291" s="1471"/>
      <c r="BC291" s="34"/>
      <c r="BD291" s="34"/>
      <c r="BE291" s="34"/>
      <c r="BF291" s="34"/>
      <c r="BG291" s="34"/>
      <c r="BH291" s="34"/>
      <c r="BI291" s="34"/>
      <c r="BJ291" s="34"/>
      <c r="BK291" s="34"/>
      <c r="BL291" s="34"/>
      <c r="BM291" s="34"/>
      <c r="BN291" s="34"/>
      <c r="BO291" s="34"/>
      <c r="BP291" s="34"/>
      <c r="BQ291" s="34"/>
      <c r="BR291" s="34"/>
    </row>
    <row r="292" ht="12.75" customHeight="1">
      <c r="N292" s="1029"/>
      <c r="AB292" s="1029"/>
      <c r="AN292" s="1957"/>
      <c r="AO292" s="1957"/>
      <c r="AP292" s="1471"/>
      <c r="AQ292" s="1471"/>
      <c r="AR292" s="1471"/>
      <c r="AS292" s="1471"/>
      <c r="AT292" s="1471"/>
      <c r="AU292" s="1471"/>
      <c r="AV292" s="1471"/>
      <c r="AW292" s="1471"/>
      <c r="AX292" s="1471"/>
      <c r="AY292" s="1471"/>
      <c r="AZ292" s="1471"/>
      <c r="BA292" s="1471"/>
      <c r="BB292" s="1471"/>
      <c r="BC292" s="34"/>
      <c r="BD292" s="34"/>
      <c r="BE292" s="34"/>
      <c r="BF292" s="34"/>
      <c r="BG292" s="34"/>
      <c r="BH292" s="34"/>
      <c r="BI292" s="34"/>
      <c r="BJ292" s="34"/>
      <c r="BK292" s="34"/>
      <c r="BL292" s="34"/>
      <c r="BM292" s="34"/>
      <c r="BN292" s="34"/>
      <c r="BO292" s="34"/>
      <c r="BP292" s="34"/>
      <c r="BQ292" s="34"/>
      <c r="BR292" s="34"/>
    </row>
    <row r="293" ht="12.7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1957"/>
      <c r="AO293" s="1957"/>
      <c r="AP293" s="1471"/>
      <c r="AQ293" s="1471"/>
      <c r="AR293" s="1471"/>
      <c r="AS293" s="1471"/>
      <c r="AT293" s="1471"/>
      <c r="AU293" s="1471"/>
      <c r="AV293" s="1471"/>
      <c r="AW293" s="1471"/>
      <c r="AX293" s="1471"/>
      <c r="AY293" s="1471"/>
      <c r="AZ293" s="1471"/>
      <c r="BA293" s="1471"/>
      <c r="BB293" s="1471"/>
      <c r="BC293" s="34"/>
      <c r="BD293" s="34"/>
      <c r="BE293" s="34"/>
      <c r="BF293" s="34"/>
      <c r="BG293" s="34"/>
      <c r="BH293" s="34"/>
      <c r="BI293" s="34"/>
      <c r="BJ293" s="34"/>
      <c r="BK293" s="34"/>
      <c r="BL293" s="34"/>
      <c r="BM293" s="34"/>
      <c r="BN293" s="34"/>
      <c r="BO293" s="34"/>
      <c r="BP293" s="34"/>
      <c r="BQ293" s="34"/>
      <c r="BR293" s="34"/>
    </row>
    <row r="294" ht="12.75" customHeight="1">
      <c r="A294" s="1769" t="str">
        <f>VLOOKUP("16.jp*g",Fotos!$A$2:$E371,5,FALSE)</f>
        <v/>
      </c>
      <c r="N294" s="1029"/>
      <c r="O294" s="1770" t="str">
        <f>VLOOKUP("17.jp*g",Fotos!$A$2:$E371,5,FALSE)</f>
        <v/>
      </c>
      <c r="AB294" s="1029"/>
      <c r="AC294" s="1770" t="str">
        <f>VLOOKUP("18.jp*g",Fotos!$A$2:$E371,5,FALSE)</f>
        <v/>
      </c>
      <c r="AN294" s="1957"/>
      <c r="AO294" s="1957"/>
      <c r="AP294" s="1471"/>
      <c r="AQ294" s="1471"/>
      <c r="AR294" s="1471"/>
      <c r="AS294" s="1471"/>
      <c r="AT294" s="1471"/>
      <c r="AU294" s="1471"/>
      <c r="AV294" s="1471"/>
      <c r="AW294" s="1471"/>
      <c r="AX294" s="1471"/>
      <c r="AY294" s="1471"/>
      <c r="AZ294" s="1471"/>
      <c r="BA294" s="1471"/>
      <c r="BB294" s="1471"/>
      <c r="BC294" s="34"/>
      <c r="BD294" s="34"/>
      <c r="BE294" s="34"/>
      <c r="BF294" s="34"/>
      <c r="BG294" s="34"/>
      <c r="BH294" s="34"/>
      <c r="BI294" s="34"/>
      <c r="BJ294" s="34"/>
      <c r="BK294" s="34"/>
      <c r="BL294" s="34"/>
      <c r="BM294" s="34"/>
      <c r="BN294" s="34"/>
      <c r="BO294" s="34"/>
      <c r="BP294" s="34"/>
      <c r="BQ294" s="34"/>
      <c r="BR294" s="34"/>
    </row>
    <row r="295" ht="12.75" customHeight="1">
      <c r="N295" s="1029"/>
      <c r="AB295" s="1029"/>
      <c r="AN295" s="1957"/>
      <c r="AO295" s="1957"/>
      <c r="AP295" s="1471"/>
      <c r="AQ295" s="1471"/>
      <c r="AR295" s="1471"/>
      <c r="AS295" s="1471"/>
      <c r="AT295" s="1471"/>
      <c r="AU295" s="1471"/>
      <c r="AV295" s="1471"/>
      <c r="AW295" s="1471"/>
      <c r="AX295" s="1471"/>
      <c r="AY295" s="1471"/>
      <c r="AZ295" s="1471"/>
      <c r="BA295" s="1471"/>
      <c r="BB295" s="1471"/>
      <c r="BC295" s="34"/>
      <c r="BD295" s="34"/>
      <c r="BE295" s="34"/>
      <c r="BF295" s="34"/>
      <c r="BG295" s="34"/>
      <c r="BH295" s="34"/>
      <c r="BI295" s="34"/>
      <c r="BJ295" s="34"/>
      <c r="BK295" s="34"/>
      <c r="BL295" s="34"/>
      <c r="BM295" s="34"/>
      <c r="BN295" s="34"/>
      <c r="BO295" s="34"/>
      <c r="BP295" s="34"/>
      <c r="BQ295" s="34"/>
      <c r="BR295" s="34"/>
    </row>
    <row r="296" ht="12.75" customHeight="1">
      <c r="N296" s="1029"/>
      <c r="AB296" s="1029"/>
      <c r="AN296" s="1957"/>
      <c r="AO296" s="1957"/>
      <c r="AP296" s="1471"/>
      <c r="AQ296" s="1471"/>
      <c r="AR296" s="1471"/>
      <c r="AS296" s="1471"/>
      <c r="AT296" s="1471"/>
      <c r="AU296" s="1471"/>
      <c r="AV296" s="1471"/>
      <c r="AW296" s="1471"/>
      <c r="AX296" s="1471"/>
      <c r="AY296" s="1471"/>
      <c r="AZ296" s="1471"/>
      <c r="BA296" s="1471"/>
      <c r="BB296" s="1471"/>
      <c r="BC296" s="34"/>
      <c r="BD296" s="34"/>
      <c r="BE296" s="34"/>
      <c r="BF296" s="34"/>
      <c r="BG296" s="34"/>
      <c r="BH296" s="34"/>
      <c r="BI296" s="34"/>
      <c r="BJ296" s="34"/>
      <c r="BK296" s="34"/>
      <c r="BL296" s="34"/>
      <c r="BM296" s="34"/>
      <c r="BN296" s="34"/>
      <c r="BO296" s="34"/>
      <c r="BP296" s="34"/>
      <c r="BQ296" s="34"/>
      <c r="BR296" s="34"/>
    </row>
    <row r="297" ht="12.75" customHeight="1">
      <c r="N297" s="1029"/>
      <c r="AB297" s="1029"/>
      <c r="AN297" s="1957"/>
      <c r="AO297" s="1957"/>
      <c r="AP297" s="1471"/>
      <c r="AQ297" s="1471"/>
      <c r="AR297" s="1471"/>
      <c r="AS297" s="1471"/>
      <c r="AT297" s="1471"/>
      <c r="AU297" s="1471"/>
      <c r="AV297" s="1471"/>
      <c r="AW297" s="1471"/>
      <c r="AX297" s="1471"/>
      <c r="AY297" s="1471"/>
      <c r="AZ297" s="1471"/>
      <c r="BA297" s="1471"/>
      <c r="BB297" s="1471"/>
      <c r="BC297" s="34"/>
      <c r="BD297" s="34"/>
      <c r="BE297" s="34"/>
      <c r="BF297" s="34"/>
      <c r="BG297" s="34"/>
      <c r="BH297" s="34"/>
      <c r="BI297" s="34"/>
      <c r="BJ297" s="34"/>
      <c r="BK297" s="34"/>
      <c r="BL297" s="34"/>
      <c r="BM297" s="34"/>
      <c r="BN297" s="34"/>
      <c r="BO297" s="34"/>
      <c r="BP297" s="34"/>
      <c r="BQ297" s="34"/>
      <c r="BR297" s="34"/>
    </row>
    <row r="298" ht="12.75" customHeight="1">
      <c r="N298" s="1029"/>
      <c r="AB298" s="1029"/>
      <c r="AN298" s="1957"/>
      <c r="AO298" s="1957"/>
      <c r="AP298" s="1471"/>
      <c r="AQ298" s="1471"/>
      <c r="AR298" s="1471"/>
      <c r="AS298" s="1471"/>
      <c r="AT298" s="1471"/>
      <c r="AU298" s="1471"/>
      <c r="AV298" s="1471"/>
      <c r="AW298" s="1471"/>
      <c r="AX298" s="1471"/>
      <c r="AY298" s="1471"/>
      <c r="AZ298" s="1471"/>
      <c r="BA298" s="1471"/>
      <c r="BB298" s="1471"/>
      <c r="BC298" s="34"/>
      <c r="BD298" s="34"/>
      <c r="BE298" s="34"/>
      <c r="BF298" s="34"/>
      <c r="BG298" s="34"/>
      <c r="BH298" s="34"/>
      <c r="BI298" s="34"/>
      <c r="BJ298" s="34"/>
      <c r="BK298" s="34"/>
      <c r="BL298" s="34"/>
      <c r="BM298" s="34"/>
      <c r="BN298" s="34"/>
      <c r="BO298" s="34"/>
      <c r="BP298" s="34"/>
      <c r="BQ298" s="34"/>
      <c r="BR298" s="34"/>
    </row>
    <row r="299" ht="12.75" customHeight="1">
      <c r="N299" s="1029"/>
      <c r="AB299" s="1029"/>
      <c r="AN299" s="1957"/>
      <c r="AO299" s="1957"/>
      <c r="AP299" s="1471"/>
      <c r="AQ299" s="1471"/>
      <c r="AR299" s="1471"/>
      <c r="AS299" s="1471"/>
      <c r="AT299" s="1471"/>
      <c r="AU299" s="1471"/>
      <c r="AV299" s="1471"/>
      <c r="AW299" s="1471"/>
      <c r="AX299" s="1471"/>
      <c r="AY299" s="1471"/>
      <c r="AZ299" s="1471"/>
      <c r="BA299" s="1471"/>
      <c r="BB299" s="1471"/>
      <c r="BC299" s="34"/>
      <c r="BD299" s="34"/>
      <c r="BE299" s="34"/>
      <c r="BF299" s="34"/>
      <c r="BG299" s="34"/>
      <c r="BH299" s="34"/>
      <c r="BI299" s="34"/>
      <c r="BJ299" s="34"/>
      <c r="BK299" s="34"/>
      <c r="BL299" s="34"/>
      <c r="BM299" s="34"/>
      <c r="BN299" s="34"/>
      <c r="BO299" s="34"/>
      <c r="BP299" s="34"/>
      <c r="BQ299" s="34"/>
      <c r="BR299" s="34"/>
    </row>
    <row r="300" ht="12.75" customHeight="1">
      <c r="N300" s="1029"/>
      <c r="AB300" s="1029"/>
      <c r="AN300" s="1957"/>
      <c r="AO300" s="1957"/>
      <c r="AP300" s="1471"/>
      <c r="AQ300" s="1471"/>
      <c r="AR300" s="1471"/>
      <c r="AS300" s="1471"/>
      <c r="AT300" s="1471"/>
      <c r="AU300" s="1471"/>
      <c r="AV300" s="1471"/>
      <c r="AW300" s="1471"/>
      <c r="AX300" s="1471"/>
      <c r="AY300" s="1471"/>
      <c r="AZ300" s="1471"/>
      <c r="BA300" s="1471"/>
      <c r="BB300" s="1471"/>
      <c r="BC300" s="34"/>
      <c r="BD300" s="34"/>
      <c r="BE300" s="34"/>
      <c r="BF300" s="34"/>
      <c r="BG300" s="34"/>
      <c r="BH300" s="34"/>
      <c r="BI300" s="34"/>
      <c r="BJ300" s="34"/>
      <c r="BK300" s="34"/>
      <c r="BL300" s="34"/>
      <c r="BM300" s="34"/>
      <c r="BN300" s="34"/>
      <c r="BO300" s="34"/>
      <c r="BP300" s="34"/>
      <c r="BQ300" s="34"/>
      <c r="BR300" s="34"/>
    </row>
    <row r="301" ht="12.75" customHeight="1">
      <c r="N301" s="1029"/>
      <c r="AB301" s="1029"/>
      <c r="AN301" s="1957"/>
      <c r="AO301" s="1957"/>
      <c r="AP301" s="1471"/>
      <c r="AQ301" s="1471"/>
      <c r="AR301" s="1471"/>
      <c r="AS301" s="1471"/>
      <c r="AT301" s="1471"/>
      <c r="AU301" s="1471"/>
      <c r="AV301" s="1471"/>
      <c r="AW301" s="1471"/>
      <c r="AX301" s="1471"/>
      <c r="AY301" s="1471"/>
      <c r="AZ301" s="1471"/>
      <c r="BA301" s="1471"/>
      <c r="BB301" s="1471"/>
      <c r="BC301" s="34"/>
      <c r="BD301" s="34"/>
      <c r="BE301" s="34"/>
      <c r="BF301" s="34"/>
      <c r="BG301" s="34"/>
      <c r="BH301" s="34"/>
      <c r="BI301" s="34"/>
      <c r="BJ301" s="34"/>
      <c r="BK301" s="34"/>
      <c r="BL301" s="34"/>
      <c r="BM301" s="34"/>
      <c r="BN301" s="34"/>
      <c r="BO301" s="34"/>
      <c r="BP301" s="34"/>
      <c r="BQ301" s="34"/>
      <c r="BR301" s="34"/>
    </row>
    <row r="302" ht="12.75" customHeight="1">
      <c r="N302" s="1029"/>
      <c r="AB302" s="1029"/>
      <c r="AN302" s="1957"/>
      <c r="AO302" s="1957"/>
      <c r="AP302" s="1471"/>
      <c r="AQ302" s="1471"/>
      <c r="AR302" s="1471"/>
      <c r="AS302" s="1471"/>
      <c r="AT302" s="1471"/>
      <c r="AU302" s="1471"/>
      <c r="AV302" s="1471"/>
      <c r="AW302" s="1471"/>
      <c r="AX302" s="1471"/>
      <c r="AY302" s="1471"/>
      <c r="AZ302" s="1471"/>
      <c r="BA302" s="1471"/>
      <c r="BB302" s="1471"/>
      <c r="BC302" s="34"/>
      <c r="BD302" s="34"/>
      <c r="BE302" s="34"/>
      <c r="BF302" s="34"/>
      <c r="BG302" s="34"/>
      <c r="BH302" s="34"/>
      <c r="BI302" s="34"/>
      <c r="BJ302" s="34"/>
      <c r="BK302" s="34"/>
      <c r="BL302" s="34"/>
      <c r="BM302" s="34"/>
      <c r="BN302" s="34"/>
      <c r="BO302" s="34"/>
      <c r="BP302" s="34"/>
      <c r="BQ302" s="34"/>
      <c r="BR302" s="34"/>
    </row>
    <row r="303" ht="12.75" customHeight="1">
      <c r="N303" s="1029"/>
      <c r="AB303" s="1029"/>
      <c r="AN303" s="1957"/>
      <c r="AO303" s="1957"/>
      <c r="AP303" s="1471"/>
      <c r="AQ303" s="1471"/>
      <c r="AR303" s="1471"/>
      <c r="AS303" s="1471"/>
      <c r="AT303" s="1471"/>
      <c r="AU303" s="1471"/>
      <c r="AV303" s="1471"/>
      <c r="AW303" s="1471"/>
      <c r="AX303" s="1471"/>
      <c r="AY303" s="1471"/>
      <c r="AZ303" s="1471"/>
      <c r="BA303" s="1471"/>
      <c r="BB303" s="1471"/>
      <c r="BC303" s="34"/>
      <c r="BD303" s="34"/>
      <c r="BE303" s="34"/>
      <c r="BF303" s="34"/>
      <c r="BG303" s="34"/>
      <c r="BH303" s="34"/>
      <c r="BI303" s="34"/>
      <c r="BJ303" s="34"/>
      <c r="BK303" s="34"/>
      <c r="BL303" s="34"/>
      <c r="BM303" s="34"/>
      <c r="BN303" s="34"/>
      <c r="BO303" s="34"/>
      <c r="BP303" s="34"/>
      <c r="BQ303" s="34"/>
      <c r="BR303" s="34"/>
    </row>
    <row r="304" ht="12.75" customHeight="1">
      <c r="N304" s="1029"/>
      <c r="AB304" s="1029"/>
      <c r="AN304" s="1957"/>
      <c r="AO304" s="1957"/>
      <c r="AP304" s="1471"/>
      <c r="AQ304" s="1471"/>
      <c r="AR304" s="1471"/>
      <c r="AS304" s="1471"/>
      <c r="AT304" s="1471"/>
      <c r="AU304" s="1471"/>
      <c r="AV304" s="1471"/>
      <c r="AW304" s="1471"/>
      <c r="AX304" s="1471"/>
      <c r="AY304" s="1471"/>
      <c r="AZ304" s="1471"/>
      <c r="BA304" s="1471"/>
      <c r="BB304" s="1471"/>
      <c r="BC304" s="34"/>
      <c r="BD304" s="34"/>
      <c r="BE304" s="34"/>
      <c r="BF304" s="34"/>
      <c r="BG304" s="34"/>
      <c r="BH304" s="34"/>
      <c r="BI304" s="34"/>
      <c r="BJ304" s="34"/>
      <c r="BK304" s="34"/>
      <c r="BL304" s="34"/>
      <c r="BM304" s="34"/>
      <c r="BN304" s="34"/>
      <c r="BO304" s="34"/>
      <c r="BP304" s="34"/>
      <c r="BQ304" s="34"/>
      <c r="BR304" s="34"/>
    </row>
    <row r="305" ht="12.75" customHeight="1">
      <c r="N305" s="1029"/>
      <c r="AB305" s="1029"/>
      <c r="AN305" s="1957"/>
      <c r="AO305" s="1957"/>
      <c r="AP305" s="1471"/>
      <c r="AQ305" s="1471"/>
      <c r="AR305" s="1471"/>
      <c r="AS305" s="1471"/>
      <c r="AT305" s="1471"/>
      <c r="AU305" s="1471"/>
      <c r="AV305" s="1471"/>
      <c r="AW305" s="1471"/>
      <c r="AX305" s="1471"/>
      <c r="AY305" s="1471"/>
      <c r="AZ305" s="1471"/>
      <c r="BA305" s="1471"/>
      <c r="BB305" s="1471"/>
      <c r="BC305" s="34"/>
      <c r="BD305" s="34"/>
      <c r="BE305" s="34"/>
      <c r="BF305" s="34"/>
      <c r="BG305" s="34"/>
      <c r="BH305" s="34"/>
      <c r="BI305" s="34"/>
      <c r="BJ305" s="34"/>
      <c r="BK305" s="34"/>
      <c r="BL305" s="34"/>
      <c r="BM305" s="34"/>
      <c r="BN305" s="34"/>
      <c r="BO305" s="34"/>
      <c r="BP305" s="34"/>
      <c r="BQ305" s="34"/>
      <c r="BR305" s="34"/>
    </row>
    <row r="306" ht="12.75" customHeight="1">
      <c r="N306" s="1029"/>
      <c r="AB306" s="1029"/>
      <c r="AN306" s="1957"/>
      <c r="AO306" s="1957"/>
      <c r="AP306" s="1471"/>
      <c r="AQ306" s="1471"/>
      <c r="AR306" s="1471"/>
      <c r="AS306" s="1471"/>
      <c r="AT306" s="1471"/>
      <c r="AU306" s="1471"/>
      <c r="AV306" s="1471"/>
      <c r="AW306" s="1471"/>
      <c r="AX306" s="1471"/>
      <c r="AY306" s="1471"/>
      <c r="AZ306" s="1471"/>
      <c r="BA306" s="1471"/>
      <c r="BB306" s="1471"/>
      <c r="BC306" s="34"/>
      <c r="BD306" s="34"/>
      <c r="BE306" s="34"/>
      <c r="BF306" s="34"/>
      <c r="BG306" s="34"/>
      <c r="BH306" s="34"/>
      <c r="BI306" s="34"/>
      <c r="BJ306" s="34"/>
      <c r="BK306" s="34"/>
      <c r="BL306" s="34"/>
      <c r="BM306" s="34"/>
      <c r="BN306" s="34"/>
      <c r="BO306" s="34"/>
      <c r="BP306" s="34"/>
      <c r="BQ306" s="34"/>
      <c r="BR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N307" s="1957"/>
      <c r="AO307" s="1957"/>
      <c r="AP307" s="1957"/>
      <c r="AQ307" s="1957"/>
      <c r="AR307" s="1957"/>
      <c r="AS307" s="1957"/>
      <c r="AT307" s="1957"/>
      <c r="AU307" s="1957"/>
      <c r="AV307" s="1957"/>
      <c r="AW307" s="1957"/>
      <c r="AX307" s="1957"/>
      <c r="AY307" s="1957"/>
      <c r="AZ307" s="1957"/>
      <c r="BA307" s="1957"/>
      <c r="BB307" s="1957"/>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N308" s="1957"/>
      <c r="AO308" s="1957"/>
      <c r="AP308" s="1957"/>
      <c r="AQ308" s="1957"/>
      <c r="AR308" s="1957"/>
      <c r="AS308" s="1957"/>
      <c r="AT308" s="1957"/>
      <c r="AU308" s="1957"/>
      <c r="AV308" s="1957"/>
      <c r="AW308" s="1957"/>
      <c r="AX308" s="1957"/>
      <c r="AY308" s="1957"/>
      <c r="AZ308" s="1957"/>
      <c r="BA308" s="1957"/>
      <c r="BB308" s="1957"/>
    </row>
    <row r="309" ht="12.75" customHeight="1">
      <c r="A309" s="1374" t="s">
        <v>295</v>
      </c>
      <c r="AN309" s="1957"/>
      <c r="AO309" s="1957"/>
      <c r="AP309" s="1957"/>
      <c r="AQ309" s="1957"/>
      <c r="AR309" s="1957"/>
      <c r="AS309" s="1957"/>
      <c r="AT309" s="1957"/>
      <c r="AU309" s="1957"/>
      <c r="AV309" s="1957"/>
      <c r="AW309" s="1957"/>
      <c r="AX309" s="1957"/>
      <c r="AY309" s="1957"/>
      <c r="AZ309" s="1957"/>
      <c r="BA309" s="1957"/>
      <c r="BB309" s="1957"/>
    </row>
    <row r="310" ht="12.75" customHeight="1">
      <c r="A310" s="34"/>
      <c r="B310" s="34"/>
      <c r="C310" s="34"/>
      <c r="D310" s="34"/>
      <c r="E310" s="34"/>
      <c r="F310" s="34"/>
      <c r="G310" s="34"/>
      <c r="H310" s="34"/>
      <c r="I310" s="34"/>
      <c r="J310" s="34"/>
      <c r="K310" s="34"/>
      <c r="L310" s="34"/>
      <c r="M310" s="34"/>
      <c r="N310" s="34"/>
      <c r="O310" s="34"/>
      <c r="P310" s="34"/>
      <c r="Q310" s="34"/>
      <c r="AN310" s="1957"/>
      <c r="AO310" s="1957"/>
      <c r="AP310" s="1957"/>
      <c r="AQ310" s="1957"/>
      <c r="AR310" s="1957"/>
      <c r="AS310" s="1957"/>
      <c r="AT310" s="1957"/>
      <c r="AU310" s="1957"/>
      <c r="AV310" s="1957"/>
      <c r="AW310" s="1957"/>
      <c r="AX310" s="1957"/>
      <c r="AY310" s="1957"/>
      <c r="AZ310" s="1957"/>
      <c r="BA310" s="1957"/>
      <c r="BB310" s="1957"/>
    </row>
    <row r="311" ht="12.75" customHeight="1">
      <c r="A311" s="34"/>
      <c r="B311" s="34"/>
      <c r="C311" s="34"/>
      <c r="D311" s="34"/>
      <c r="E311" s="34"/>
      <c r="F311" s="34"/>
      <c r="G311" s="34"/>
      <c r="H311" s="34"/>
      <c r="I311" s="34"/>
      <c r="J311" s="34"/>
      <c r="K311" s="34"/>
      <c r="L311" s="34"/>
      <c r="M311" s="34"/>
      <c r="N311" s="34"/>
      <c r="O311" s="34"/>
      <c r="P311" s="34"/>
      <c r="Q311" s="34"/>
      <c r="AN311" s="1957"/>
      <c r="AO311" s="1957"/>
      <c r="AP311" s="1957"/>
      <c r="AQ311" s="1957"/>
      <c r="AR311" s="1957"/>
      <c r="AS311" s="1957"/>
      <c r="AT311" s="1957"/>
      <c r="AU311" s="1957"/>
      <c r="AV311" s="1957"/>
      <c r="AW311" s="1957"/>
      <c r="AX311" s="1957"/>
      <c r="AY311" s="1957"/>
      <c r="AZ311" s="1957"/>
      <c r="BA311" s="1957"/>
      <c r="BB311" s="1957"/>
    </row>
    <row r="312" ht="12.75" customHeight="1">
      <c r="A312" s="34"/>
      <c r="B312" s="34"/>
      <c r="C312" s="34"/>
      <c r="D312" s="34"/>
      <c r="E312" s="34"/>
      <c r="F312" s="34"/>
      <c r="G312" s="34"/>
      <c r="H312" s="34"/>
      <c r="I312" s="34"/>
      <c r="J312" s="34"/>
      <c r="K312" s="34"/>
      <c r="L312" s="34"/>
      <c r="M312" s="34"/>
      <c r="N312" s="34"/>
      <c r="O312" s="34"/>
      <c r="P312" s="34"/>
      <c r="Q312" s="34"/>
      <c r="AN312" s="1957"/>
      <c r="AO312" s="1957"/>
      <c r="AP312" s="1957"/>
      <c r="AQ312" s="1957"/>
      <c r="AR312" s="1957"/>
      <c r="AS312" s="1957"/>
      <c r="AT312" s="1957"/>
      <c r="AU312" s="1957"/>
      <c r="AV312" s="1957"/>
      <c r="AW312" s="1957"/>
      <c r="AX312" s="1957"/>
      <c r="AY312" s="1957"/>
      <c r="AZ312" s="1957"/>
      <c r="BA312" s="1957"/>
      <c r="BB312" s="1957"/>
    </row>
    <row r="313" ht="12.75" customHeight="1">
      <c r="A313" s="34"/>
      <c r="B313" s="34"/>
      <c r="C313" s="34"/>
      <c r="D313" s="34"/>
      <c r="E313" s="82"/>
      <c r="F313" s="843"/>
      <c r="O313" s="844"/>
      <c r="P313" s="844"/>
      <c r="Q313" s="844"/>
      <c r="AN313" s="1957"/>
      <c r="AO313" s="1957"/>
      <c r="AP313" s="1957"/>
      <c r="AQ313" s="1957"/>
      <c r="AR313" s="1957"/>
      <c r="AS313" s="1957"/>
      <c r="AT313" s="1957"/>
      <c r="AU313" s="1957"/>
      <c r="AV313" s="1957"/>
      <c r="AW313" s="1957"/>
      <c r="AX313" s="1957"/>
      <c r="AY313" s="1957"/>
      <c r="AZ313" s="1957"/>
      <c r="BA313" s="1957"/>
      <c r="BB313" s="1957"/>
    </row>
    <row r="314" ht="12.75" customHeight="1">
      <c r="A314" s="34"/>
      <c r="B314" s="34"/>
      <c r="C314" s="845"/>
      <c r="D314" s="845"/>
      <c r="E314" s="846"/>
      <c r="F314" s="34"/>
      <c r="G314" s="34"/>
      <c r="H314" s="34"/>
      <c r="I314" s="34"/>
      <c r="J314" s="34"/>
      <c r="K314" s="34"/>
      <c r="L314" s="34"/>
      <c r="M314" s="34"/>
      <c r="N314" s="34"/>
      <c r="O314" s="34"/>
      <c r="P314" s="34"/>
      <c r="Q314" s="34"/>
      <c r="AN314" s="1957"/>
      <c r="AO314" s="1957"/>
      <c r="AP314" s="1957"/>
      <c r="AQ314" s="1957"/>
      <c r="AR314" s="1957"/>
      <c r="AS314" s="1957"/>
      <c r="AT314" s="1957"/>
      <c r="AU314" s="1957"/>
      <c r="AV314" s="1957"/>
      <c r="AW314" s="1957"/>
      <c r="AX314" s="1957"/>
      <c r="AY314" s="1957"/>
      <c r="AZ314" s="1957"/>
      <c r="BA314" s="1957"/>
      <c r="BB314" s="1957"/>
    </row>
    <row r="315" ht="12.75" customHeight="1">
      <c r="A315" s="34"/>
      <c r="B315" s="34"/>
      <c r="C315" s="34"/>
      <c r="D315" s="34"/>
      <c r="E315" s="82"/>
      <c r="F315" s="843"/>
      <c r="O315" s="34"/>
      <c r="P315" s="34"/>
      <c r="Q315" s="34"/>
      <c r="AN315" s="1957"/>
      <c r="AO315" s="1957"/>
      <c r="AP315" s="1957"/>
      <c r="AQ315" s="1957"/>
      <c r="AR315" s="1957"/>
      <c r="AS315" s="1957"/>
      <c r="AT315" s="1957"/>
      <c r="AU315" s="1957"/>
      <c r="AV315" s="1957"/>
      <c r="AW315" s="1957"/>
      <c r="AX315" s="1957"/>
      <c r="AY315" s="1957"/>
      <c r="AZ315" s="1957"/>
      <c r="BA315" s="1957"/>
      <c r="BB315" s="1957"/>
    </row>
    <row r="316" ht="12.75" customHeight="1">
      <c r="A316" s="34"/>
      <c r="B316" s="34"/>
      <c r="C316" s="34"/>
      <c r="D316" s="34"/>
      <c r="E316" s="34"/>
      <c r="F316" s="34"/>
      <c r="G316" s="34"/>
      <c r="H316" s="34"/>
      <c r="I316" s="34"/>
      <c r="J316" s="34"/>
      <c r="K316" s="34"/>
      <c r="L316" s="34"/>
      <c r="M316" s="34"/>
      <c r="N316" s="34"/>
      <c r="O316" s="842"/>
      <c r="P316" s="842"/>
      <c r="Q316" s="842"/>
      <c r="AN316" s="1957"/>
      <c r="AO316" s="1957"/>
      <c r="AP316" s="1957"/>
      <c r="AQ316" s="1957"/>
      <c r="AR316" s="1957"/>
      <c r="AS316" s="1957"/>
      <c r="AT316" s="1957"/>
      <c r="AU316" s="1957"/>
      <c r="AV316" s="1957"/>
      <c r="AW316" s="1957"/>
      <c r="AX316" s="1957"/>
      <c r="AY316" s="1957"/>
      <c r="AZ316" s="1957"/>
      <c r="BA316" s="1957"/>
      <c r="BB316" s="1957"/>
    </row>
    <row r="317" ht="12.75" customHeight="1">
      <c r="A317" s="34"/>
      <c r="B317" s="34"/>
      <c r="C317" s="34"/>
      <c r="D317" s="34"/>
      <c r="E317" s="82"/>
      <c r="F317" s="843"/>
      <c r="O317" s="34"/>
      <c r="P317" s="34"/>
      <c r="Q317" s="34"/>
      <c r="AN317" s="1957"/>
      <c r="AO317" s="1957"/>
      <c r="AP317" s="1957"/>
      <c r="AQ317" s="1957"/>
      <c r="AR317" s="1957"/>
      <c r="AS317" s="1957"/>
      <c r="AT317" s="1957"/>
      <c r="AU317" s="1957"/>
      <c r="AV317" s="1957"/>
      <c r="AW317" s="1957"/>
      <c r="AX317" s="1957"/>
      <c r="AY317" s="1957"/>
      <c r="AZ317" s="1957"/>
      <c r="BA317" s="1957"/>
      <c r="BB317" s="1957"/>
    </row>
    <row r="318" ht="12.75" customHeight="1">
      <c r="A318" s="34"/>
      <c r="B318" s="34"/>
      <c r="C318" s="34"/>
      <c r="D318" s="34"/>
      <c r="E318" s="34"/>
      <c r="F318" s="34"/>
      <c r="G318" s="34"/>
      <c r="H318" s="34"/>
      <c r="I318" s="34"/>
      <c r="J318" s="34"/>
      <c r="K318" s="847"/>
      <c r="L318" s="847"/>
      <c r="M318" s="847"/>
      <c r="N318" s="847"/>
      <c r="O318" s="847"/>
      <c r="P318" s="847"/>
      <c r="Q318" s="34"/>
      <c r="AN318" s="1957"/>
      <c r="AO318" s="1957"/>
      <c r="AP318" s="1957"/>
      <c r="AQ318" s="1957"/>
      <c r="AR318" s="1957"/>
      <c r="AS318" s="1957"/>
      <c r="AT318" s="1957"/>
      <c r="AU318" s="1957"/>
      <c r="AV318" s="1957"/>
      <c r="AW318" s="1957"/>
      <c r="AX318" s="1957"/>
      <c r="AY318" s="1957"/>
      <c r="AZ318" s="1957"/>
      <c r="BA318" s="1957"/>
      <c r="BB318" s="1957"/>
    </row>
    <row r="319" ht="12.75" customHeight="1">
      <c r="A319" s="848"/>
      <c r="B319" s="848"/>
      <c r="C319" s="2285" t="s">
        <v>300</v>
      </c>
      <c r="P319" s="851"/>
      <c r="Q319" s="851"/>
      <c r="AN319" s="1957"/>
      <c r="AO319" s="1957"/>
      <c r="AP319" s="1957"/>
      <c r="AQ319" s="1957"/>
      <c r="AR319" s="1957"/>
      <c r="AS319" s="1957"/>
      <c r="AT319" s="1957"/>
      <c r="AU319" s="1957"/>
      <c r="AV319" s="1957"/>
      <c r="AW319" s="1957"/>
      <c r="AX319" s="1957"/>
      <c r="AY319" s="1957"/>
      <c r="AZ319" s="1957"/>
      <c r="BA319" s="1957"/>
      <c r="BB319" s="1957"/>
    </row>
    <row r="320" ht="12.75" customHeight="1">
      <c r="A320" s="848"/>
      <c r="B320" s="848"/>
      <c r="P320" s="848"/>
      <c r="Q320" s="848"/>
      <c r="W320" s="846"/>
      <c r="AN320" s="1957"/>
      <c r="AO320" s="1957"/>
      <c r="AP320" s="1957"/>
      <c r="AQ320" s="1957"/>
      <c r="AR320" s="1957"/>
      <c r="AS320" s="1957"/>
      <c r="AT320" s="1957"/>
      <c r="AU320" s="1957"/>
      <c r="AV320" s="1957"/>
      <c r="AW320" s="1957"/>
      <c r="AX320" s="1957"/>
      <c r="AY320" s="1957"/>
      <c r="AZ320" s="1957"/>
      <c r="BA320" s="1957"/>
      <c r="BB320" s="1957"/>
    </row>
    <row r="321" ht="12.75" customHeight="1">
      <c r="A321" s="848"/>
      <c r="B321" s="848"/>
      <c r="C321" s="848"/>
      <c r="D321" s="848"/>
      <c r="E321" s="848"/>
      <c r="F321" s="848"/>
      <c r="G321" s="848"/>
      <c r="H321" s="848"/>
      <c r="I321" s="848"/>
      <c r="J321" s="848"/>
      <c r="K321" s="848"/>
      <c r="L321" s="848"/>
      <c r="M321" s="848"/>
      <c r="N321" s="848"/>
      <c r="O321" s="848"/>
      <c r="P321" s="848"/>
      <c r="Q321" s="848"/>
      <c r="AN321" s="1957"/>
      <c r="AO321" s="1957"/>
      <c r="AP321" s="1957"/>
      <c r="AQ321" s="1957"/>
      <c r="AR321" s="1957"/>
      <c r="AS321" s="1957"/>
      <c r="AT321" s="1957"/>
      <c r="AU321" s="1957"/>
      <c r="AV321" s="1957"/>
      <c r="AW321" s="1957"/>
      <c r="AX321" s="1957"/>
      <c r="AY321" s="1957"/>
      <c r="AZ321" s="1957"/>
      <c r="BA321" s="1957"/>
      <c r="BB321" s="1957"/>
    </row>
    <row r="322" ht="12.75" customHeight="1">
      <c r="A322" s="2286">
        <v>0.7637499999999999</v>
      </c>
      <c r="F322" s="2287" t="str">
        <f>+'Analisis Avance O.'!O26</f>
        <v>#REF!</v>
      </c>
      <c r="O322" s="848"/>
      <c r="P322" s="848"/>
      <c r="Q322" s="848"/>
      <c r="AN322" s="1957"/>
      <c r="AO322" s="1957"/>
      <c r="AP322" s="1957"/>
      <c r="AQ322" s="1957"/>
      <c r="AR322" s="1957"/>
      <c r="AS322" s="1957"/>
      <c r="AT322" s="1957"/>
      <c r="AU322" s="1957"/>
      <c r="AV322" s="1957"/>
      <c r="AW322" s="1957"/>
      <c r="AX322" s="1957"/>
      <c r="AY322" s="1957"/>
      <c r="AZ322" s="1957"/>
      <c r="BA322" s="1957"/>
      <c r="BB322" s="1957"/>
    </row>
    <row r="323" ht="12.75" customHeight="1">
      <c r="A323" s="848"/>
      <c r="B323" s="848"/>
      <c r="C323" s="856" t="s">
        <v>302</v>
      </c>
      <c r="D323" s="856"/>
      <c r="E323" s="848"/>
      <c r="F323" s="848"/>
      <c r="G323" s="848"/>
      <c r="H323" s="848"/>
      <c r="I323" s="848"/>
      <c r="J323" s="848"/>
      <c r="K323" s="848"/>
      <c r="L323" s="848"/>
      <c r="M323" s="848"/>
      <c r="N323" s="848"/>
      <c r="O323" s="848"/>
      <c r="P323" s="848"/>
      <c r="Q323" s="848"/>
      <c r="AN323" s="1957"/>
      <c r="AO323" s="1957"/>
      <c r="AP323" s="1957"/>
      <c r="AQ323" s="1957"/>
      <c r="AR323" s="1957"/>
      <c r="AS323" s="1957"/>
      <c r="AT323" s="1957"/>
      <c r="AU323" s="1957"/>
      <c r="AV323" s="1957"/>
      <c r="AW323" s="1957"/>
      <c r="AX323" s="1957"/>
      <c r="AY323" s="1957"/>
      <c r="AZ323" s="1957"/>
      <c r="BA323" s="1957"/>
      <c r="BB323" s="1957"/>
    </row>
    <row r="324" ht="12.75" customHeight="1">
      <c r="AN324" s="1957"/>
      <c r="AO324" s="1957"/>
      <c r="AP324" s="1957"/>
      <c r="AQ324" s="1957"/>
      <c r="AR324" s="1957"/>
      <c r="AS324" s="1957"/>
      <c r="AT324" s="1957"/>
      <c r="AU324" s="1957"/>
      <c r="AV324" s="1957"/>
      <c r="AW324" s="1957"/>
      <c r="AX324" s="1957"/>
      <c r="AY324" s="1957"/>
      <c r="AZ324" s="1957"/>
      <c r="BA324" s="1957"/>
      <c r="BB324" s="1957"/>
    </row>
    <row r="325" ht="12.75" customHeight="1">
      <c r="AN325" s="1957"/>
      <c r="AO325" s="1957"/>
      <c r="AP325" s="1957"/>
      <c r="AQ325" s="1957"/>
      <c r="AR325" s="1957"/>
      <c r="AS325" s="1957"/>
      <c r="AT325" s="1957"/>
      <c r="AU325" s="1957"/>
      <c r="AV325" s="1957"/>
      <c r="AW325" s="1957"/>
      <c r="AX325" s="1957"/>
      <c r="AY325" s="1957"/>
      <c r="AZ325" s="1957"/>
      <c r="BA325" s="1957"/>
      <c r="BB325" s="1957"/>
    </row>
    <row r="326" ht="12.75" customHeight="1">
      <c r="AN326" s="1957"/>
      <c r="AO326" s="1957"/>
      <c r="AP326" s="1957"/>
      <c r="AQ326" s="1957"/>
      <c r="AR326" s="1957"/>
      <c r="AS326" s="1957"/>
      <c r="AT326" s="1957"/>
      <c r="AU326" s="1957"/>
      <c r="AV326" s="1957"/>
      <c r="AW326" s="1957"/>
      <c r="AX326" s="1957"/>
      <c r="AY326" s="1957"/>
      <c r="AZ326" s="1957"/>
      <c r="BA326" s="1957"/>
      <c r="BB326" s="1957"/>
    </row>
    <row r="327" ht="12.75" customHeight="1">
      <c r="AN327" s="1957"/>
      <c r="AO327" s="1957"/>
      <c r="AP327" s="1957"/>
      <c r="AQ327" s="1957"/>
      <c r="AR327" s="1957"/>
      <c r="AS327" s="1957"/>
      <c r="AT327" s="1957"/>
      <c r="AU327" s="1957"/>
      <c r="AV327" s="1957"/>
      <c r="AW327" s="1957"/>
      <c r="AX327" s="1957"/>
      <c r="AY327" s="1957"/>
      <c r="AZ327" s="1957"/>
      <c r="BA327" s="1957"/>
      <c r="BB327" s="1957"/>
    </row>
    <row r="328" ht="12.75" customHeight="1">
      <c r="AN328" s="1957"/>
      <c r="AO328" s="1957"/>
      <c r="AP328" s="1957"/>
      <c r="AQ328" s="1957"/>
      <c r="AR328" s="1957"/>
      <c r="AS328" s="1957"/>
      <c r="AT328" s="1957"/>
      <c r="AU328" s="1957"/>
      <c r="AV328" s="1957"/>
      <c r="AW328" s="1957"/>
      <c r="AX328" s="1957"/>
      <c r="AY328" s="1957"/>
      <c r="AZ328" s="1957"/>
      <c r="BA328" s="1957"/>
      <c r="BB328" s="1957"/>
    </row>
    <row r="329" ht="12.75" customHeight="1">
      <c r="F329" s="34"/>
      <c r="G329" s="34"/>
      <c r="AN329" s="1957"/>
      <c r="AO329" s="1957"/>
      <c r="AP329" s="1776" t="s">
        <v>680</v>
      </c>
      <c r="AQ329" s="1777" t="s">
        <v>759</v>
      </c>
      <c r="AR329" s="1957"/>
      <c r="AS329" s="1957"/>
      <c r="AT329" s="1957"/>
      <c r="AU329" s="1957"/>
      <c r="AV329" s="1957"/>
      <c r="AW329" s="1957"/>
      <c r="AX329" s="1957"/>
      <c r="AY329" s="1957"/>
      <c r="AZ329" s="1957"/>
      <c r="BA329" s="1957"/>
      <c r="BB329" s="1957"/>
    </row>
    <row r="330" ht="12.75" customHeight="1">
      <c r="F330" s="857"/>
      <c r="AN330" s="1957"/>
      <c r="AO330" s="1957"/>
      <c r="AP330" s="1957"/>
      <c r="AQ330" s="1957"/>
      <c r="AR330" s="1957"/>
      <c r="AS330" s="1957"/>
      <c r="AT330" s="1957"/>
      <c r="AU330" s="1957"/>
      <c r="AV330" s="1957"/>
      <c r="AW330" s="1957"/>
      <c r="AX330" s="1957"/>
      <c r="AY330" s="1957"/>
      <c r="AZ330" s="1957"/>
      <c r="BA330" s="1957"/>
      <c r="BB330" s="1957"/>
    </row>
    <row r="331" ht="12.75" customHeight="1">
      <c r="AN331" s="1957"/>
      <c r="AO331" s="1957"/>
      <c r="AP331" s="1957"/>
      <c r="AQ331" s="1957"/>
      <c r="AR331" s="1957"/>
      <c r="AS331" s="1957"/>
      <c r="AT331" s="1957"/>
      <c r="AU331" s="1957"/>
      <c r="AV331" s="1957"/>
      <c r="AW331" s="1957"/>
      <c r="AX331" s="1957"/>
      <c r="AY331" s="1957"/>
      <c r="AZ331" s="1957"/>
      <c r="BA331" s="1957"/>
      <c r="BB331" s="1957"/>
    </row>
    <row r="332" ht="12.75" customHeight="1">
      <c r="L332" s="2288"/>
      <c r="AN332" s="1957"/>
      <c r="AO332" s="1957"/>
      <c r="AP332" s="1957"/>
      <c r="AQ332" s="1957"/>
      <c r="AR332" s="1957"/>
      <c r="AS332" s="1957"/>
      <c r="AT332" s="1957"/>
      <c r="AU332" s="1957"/>
      <c r="AV332" s="1957"/>
      <c r="AW332" s="1957"/>
      <c r="AX332" s="1957"/>
      <c r="AY332" s="1957"/>
      <c r="AZ332" s="1957"/>
      <c r="BA332" s="1957"/>
      <c r="BB332" s="1957"/>
    </row>
    <row r="333" ht="12.75" customHeight="1">
      <c r="AN333" s="1957"/>
      <c r="AO333" s="1957"/>
      <c r="AP333" s="1957"/>
      <c r="AQ333" s="1957"/>
      <c r="AR333" s="1957"/>
      <c r="AS333" s="1957"/>
      <c r="AT333" s="1957"/>
      <c r="AU333" s="1957"/>
      <c r="AV333" s="1957"/>
      <c r="AW333" s="1957"/>
      <c r="AX333" s="1957"/>
      <c r="AY333" s="1957"/>
      <c r="AZ333" s="1957"/>
      <c r="BA333" s="1957"/>
      <c r="BB333" s="1957"/>
    </row>
    <row r="334" ht="12.75" customHeight="1">
      <c r="AN334" s="1957"/>
      <c r="AO334" s="1957"/>
      <c r="AP334" s="1957"/>
      <c r="AQ334" s="1957"/>
      <c r="AR334" s="1957"/>
      <c r="AS334" s="1957"/>
      <c r="AT334" s="1957"/>
      <c r="AU334" s="1957"/>
      <c r="AV334" s="1957"/>
      <c r="AW334" s="1957"/>
      <c r="AX334" s="1957"/>
      <c r="AY334" s="1957"/>
      <c r="AZ334" s="1957"/>
      <c r="BA334" s="1957"/>
      <c r="BB334" s="1957"/>
    </row>
    <row r="335" ht="12.75" customHeight="1">
      <c r="AN335" s="1957"/>
      <c r="AO335" s="1957"/>
      <c r="AP335" s="1957"/>
      <c r="AQ335" s="1957"/>
      <c r="AR335" s="1957"/>
      <c r="AS335" s="1957"/>
      <c r="AT335" s="1957"/>
      <c r="AU335" s="1957"/>
      <c r="AV335" s="1957"/>
      <c r="AW335" s="1957"/>
      <c r="AX335" s="1957"/>
      <c r="AY335" s="1957"/>
      <c r="AZ335" s="1957"/>
      <c r="BA335" s="1957"/>
      <c r="BB335" s="1957"/>
    </row>
    <row r="336" ht="12.75" customHeight="1">
      <c r="AN336" s="1957"/>
      <c r="AO336" s="1957"/>
      <c r="AP336" s="1957"/>
      <c r="AQ336" s="1957"/>
      <c r="AR336" s="1957"/>
      <c r="AS336" s="1957"/>
      <c r="AT336" s="1957"/>
      <c r="AU336" s="1957"/>
      <c r="AV336" s="1957"/>
      <c r="AW336" s="1957"/>
      <c r="AX336" s="1957"/>
      <c r="AY336" s="1957"/>
      <c r="AZ336" s="1957"/>
      <c r="BA336" s="1957"/>
      <c r="BB336" s="1957"/>
    </row>
    <row r="337" ht="12.75" customHeight="1">
      <c r="AN337" s="1957"/>
      <c r="AO337" s="1957"/>
      <c r="AP337" s="1957"/>
      <c r="AQ337" s="1957"/>
      <c r="AR337" s="1957"/>
      <c r="AS337" s="1957"/>
      <c r="AT337" s="1957"/>
      <c r="AU337" s="1957"/>
      <c r="AV337" s="1957"/>
      <c r="AW337" s="1957"/>
      <c r="AX337" s="1957"/>
      <c r="AY337" s="1957"/>
      <c r="AZ337" s="1957"/>
      <c r="BA337" s="1957"/>
      <c r="BB337" s="1957"/>
    </row>
    <row r="338" ht="12.75" customHeight="1">
      <c r="A338" s="1781"/>
      <c r="B338" s="1781"/>
      <c r="C338" s="1781"/>
      <c r="D338" s="1781"/>
      <c r="E338" s="1781"/>
      <c r="F338" s="1781"/>
      <c r="G338" s="1781"/>
      <c r="H338" s="1781"/>
      <c r="I338" s="1781"/>
      <c r="J338" s="1781"/>
      <c r="K338" s="1781"/>
      <c r="L338" s="1781"/>
      <c r="M338" s="1781"/>
      <c r="N338" s="1781"/>
      <c r="O338" s="1781"/>
      <c r="P338" s="1781"/>
      <c r="Q338" s="1781"/>
      <c r="R338" s="1781"/>
      <c r="S338" s="1781"/>
      <c r="T338" s="1781"/>
      <c r="U338" s="1781"/>
      <c r="V338" s="1781"/>
      <c r="W338" s="1781"/>
      <c r="X338" s="1781"/>
      <c r="Y338" s="1781"/>
      <c r="Z338" s="1781"/>
      <c r="AA338" s="1781"/>
      <c r="AB338" s="1781"/>
      <c r="AC338" s="1781"/>
      <c r="AD338" s="1781"/>
      <c r="AE338" s="1781"/>
      <c r="AF338" s="1781"/>
      <c r="AG338" s="1781"/>
      <c r="AH338" s="1781"/>
      <c r="AI338" s="1781"/>
      <c r="AJ338" s="1781"/>
      <c r="AK338" s="1781"/>
      <c r="AL338" s="1781"/>
      <c r="AM338" s="1781"/>
      <c r="AN338" s="1957"/>
      <c r="AO338" s="1957"/>
      <c r="AP338" s="1957"/>
      <c r="AQ338" s="1957"/>
      <c r="AR338" s="1957"/>
      <c r="AS338" s="1957"/>
      <c r="AT338" s="1957"/>
      <c r="AU338" s="1957"/>
      <c r="AV338" s="1957"/>
      <c r="AW338" s="1957"/>
      <c r="AX338" s="1957"/>
      <c r="AY338" s="1957"/>
      <c r="AZ338" s="1957"/>
      <c r="BA338" s="1957"/>
      <c r="BB338" s="1957"/>
    </row>
    <row r="339" ht="12.75" customHeight="1">
      <c r="A339" s="1781"/>
      <c r="B339" s="1781"/>
      <c r="C339" s="1781"/>
      <c r="D339" s="1781"/>
      <c r="E339" s="1781"/>
      <c r="F339" s="1781"/>
      <c r="G339" s="1781"/>
      <c r="H339" s="1781"/>
      <c r="I339" s="1781"/>
      <c r="J339" s="1781"/>
      <c r="K339" s="1781"/>
      <c r="L339" s="1781"/>
      <c r="M339" s="1781"/>
      <c r="N339" s="1781"/>
      <c r="O339" s="1781"/>
      <c r="P339" s="1781"/>
      <c r="Q339" s="1781"/>
      <c r="R339" s="1781"/>
      <c r="S339" s="1781"/>
      <c r="T339" s="1781"/>
      <c r="U339" s="1781"/>
      <c r="V339" s="1781"/>
      <c r="W339" s="1781"/>
      <c r="X339" s="1781"/>
      <c r="Y339" s="1781"/>
      <c r="Z339" s="1781"/>
      <c r="AA339" s="1781"/>
      <c r="AB339" s="1781"/>
      <c r="AC339" s="1781"/>
      <c r="AD339" s="1781"/>
      <c r="AE339" s="1781"/>
      <c r="AF339" s="1781"/>
      <c r="AG339" s="1781"/>
      <c r="AH339" s="1781"/>
      <c r="AI339" s="1781"/>
      <c r="AJ339" s="1781"/>
      <c r="AK339" s="1781"/>
      <c r="AL339" s="1781"/>
      <c r="AM339" s="1781"/>
      <c r="AN339" s="1957"/>
      <c r="AO339" s="1957"/>
      <c r="AP339" s="1957"/>
      <c r="AQ339" s="1957"/>
      <c r="AR339" s="1957"/>
      <c r="AS339" s="1957"/>
      <c r="AT339" s="1957"/>
      <c r="AU339" s="1957"/>
      <c r="AV339" s="1957"/>
      <c r="AW339" s="1957"/>
      <c r="AX339" s="1957"/>
      <c r="AY339" s="1957"/>
      <c r="AZ339" s="1957"/>
      <c r="BA339" s="1957"/>
      <c r="BB339" s="1957"/>
    </row>
    <row r="340" ht="12.75" customHeight="1">
      <c r="A340" s="1781"/>
      <c r="B340" s="1781"/>
      <c r="C340" s="1781"/>
      <c r="D340" s="1781"/>
      <c r="E340" s="1781"/>
      <c r="F340" s="1781"/>
      <c r="G340" s="1781"/>
      <c r="H340" s="1781"/>
      <c r="I340" s="1781"/>
      <c r="J340" s="1781"/>
      <c r="K340" s="1781"/>
      <c r="L340" s="1781"/>
      <c r="M340" s="1781"/>
      <c r="N340" s="1781"/>
      <c r="O340" s="1781"/>
      <c r="P340" s="1781"/>
      <c r="Q340" s="1781"/>
      <c r="R340" s="1781"/>
      <c r="S340" s="1781"/>
      <c r="T340" s="1781"/>
      <c r="U340" s="1781"/>
      <c r="V340" s="1781"/>
      <c r="W340" s="1781"/>
      <c r="X340" s="1781"/>
      <c r="Y340" s="1781"/>
      <c r="Z340" s="1781"/>
      <c r="AA340" s="1781"/>
      <c r="AB340" s="1781"/>
      <c r="AC340" s="1781"/>
      <c r="AD340" s="1781"/>
      <c r="AE340" s="1781"/>
      <c r="AF340" s="1781"/>
      <c r="AG340" s="1781"/>
      <c r="AH340" s="1781"/>
      <c r="AI340" s="1781"/>
      <c r="AJ340" s="1781"/>
      <c r="AK340" s="1781"/>
      <c r="AL340" s="1781"/>
      <c r="AM340" s="1781"/>
      <c r="AN340" s="1957"/>
      <c r="AO340" s="1957"/>
      <c r="AP340" s="63"/>
      <c r="AQ340" s="63"/>
      <c r="AR340" s="861">
        <f>TRUNC(AP342,-7)</f>
        <v>0</v>
      </c>
      <c r="AS340" s="861"/>
      <c r="AT340" s="861">
        <f>TRUNC(AP342,-6)</f>
        <v>2000000</v>
      </c>
      <c r="AU340" s="861">
        <f>TRUNC(AP342,-5)</f>
        <v>2400000</v>
      </c>
      <c r="AV340" s="861"/>
      <c r="AW340" s="861">
        <f>TRUNC(AP342,-4)</f>
        <v>2430000</v>
      </c>
      <c r="AX340" s="861">
        <f>TRUNC(AP342,-3)</f>
        <v>2433000</v>
      </c>
      <c r="AY340" s="861"/>
      <c r="AZ340" s="861">
        <f>TRUNC(AP342,-2)</f>
        <v>2433000</v>
      </c>
      <c r="BA340" s="861">
        <f>TRUNC(AP342,-1)</f>
        <v>2433000</v>
      </c>
      <c r="BB340" s="861"/>
      <c r="BC340" s="861">
        <f>TRUNC(AP342,0)</f>
        <v>2433000</v>
      </c>
      <c r="BD340" s="861" t="str">
        <f>IF(AP342-BC340&gt;0,(AP342-BC340)*100,"00")</f>
        <v>00</v>
      </c>
      <c r="BE340" s="2289">
        <f>(BD340-BF340)/10</f>
        <v>0</v>
      </c>
      <c r="BF340" s="861" t="str">
        <f>IF(AP342-BC340&gt;0,(AP342-BC340)*100,"00")</f>
        <v>00</v>
      </c>
      <c r="BG340" s="2289"/>
      <c r="BH340" s="63"/>
      <c r="BI340" s="63"/>
      <c r="BJ340" s="63"/>
      <c r="BK340" s="63"/>
      <c r="BL340" s="63"/>
      <c r="BM340" s="63"/>
      <c r="BN340" s="63"/>
      <c r="BO340" s="63"/>
      <c r="BP340" s="63"/>
    </row>
    <row r="341" ht="12.75" customHeight="1">
      <c r="B341" s="1781"/>
      <c r="C341" s="1781"/>
      <c r="G341" s="1782" t="s">
        <v>682</v>
      </c>
      <c r="H341" s="1781"/>
      <c r="I341" s="1781"/>
      <c r="J341" s="1781"/>
      <c r="K341" s="1781"/>
      <c r="L341" s="1781"/>
      <c r="M341" s="1781"/>
      <c r="N341" s="1781"/>
      <c r="O341" s="1781"/>
      <c r="P341" s="1781"/>
      <c r="Q341" s="1781"/>
      <c r="T341" s="942"/>
      <c r="U341" s="1781"/>
      <c r="W341" s="1781"/>
      <c r="X341" s="1781"/>
      <c r="Y341" s="1781"/>
      <c r="AA341" s="1782" t="s">
        <v>683</v>
      </c>
      <c r="AB341" s="1781"/>
      <c r="AC341" s="1781"/>
      <c r="AD341" s="1781"/>
      <c r="AE341" s="1781"/>
      <c r="AF341" s="1781"/>
      <c r="AG341" s="1781"/>
      <c r="AH341" s="1781"/>
      <c r="AI341" s="1781"/>
      <c r="AJ341" s="1781"/>
      <c r="AK341" s="1781"/>
      <c r="AL341" s="1781"/>
      <c r="AM341" s="1781"/>
      <c r="AN341" s="1957"/>
      <c r="AO341" s="1957"/>
      <c r="AP341" s="63"/>
      <c r="AQ341" s="63"/>
      <c r="AR341" s="865">
        <f>AR340/10000000</f>
        <v>0</v>
      </c>
      <c r="AS341" s="865"/>
      <c r="AT341" s="1377">
        <f>ROUND((AT340-AR340)/1000000,1)</f>
        <v>2</v>
      </c>
      <c r="AU341" s="1378">
        <f>ROUND((AU340-AT340)/100000,1)</f>
        <v>4</v>
      </c>
      <c r="AV341" s="1379"/>
      <c r="AW341" s="1378">
        <f>ROUND((AW340-AU340)/10000, 1)</f>
        <v>3</v>
      </c>
      <c r="AX341" s="1378">
        <f>ROUND((AX340-AW340)/1000,1)</f>
        <v>3</v>
      </c>
      <c r="AY341" s="1380"/>
      <c r="AZ341" s="1378">
        <f>ROUND((AZ340-AX340)/100,1)</f>
        <v>0</v>
      </c>
      <c r="BA341" s="1378">
        <f>ROUND((BA340-AZ340)/10,1)</f>
        <v>0</v>
      </c>
      <c r="BB341" s="865"/>
      <c r="BC341" s="861">
        <f>+BC340-BA340</f>
        <v>0</v>
      </c>
      <c r="BD341" s="861" t="str">
        <f>IF(AP342-BC340=0,"00",ROUND(BD340,0))</f>
        <v>00</v>
      </c>
      <c r="BE341" s="63"/>
      <c r="BF341" s="865"/>
      <c r="BG341" s="63"/>
      <c r="BH341" s="63"/>
      <c r="BI341" s="63"/>
      <c r="BJ341" s="63"/>
      <c r="BK341" s="63"/>
      <c r="BL341" s="63"/>
      <c r="BM341" s="63"/>
      <c r="BN341" s="63"/>
      <c r="BO341" s="63"/>
      <c r="BP341" s="63"/>
    </row>
    <row r="342" ht="12.75" customHeight="1">
      <c r="A342" s="2290">
        <f t="shared" ref="A342:A348" si="57">IF(C342&lt;&gt;"", ROW()-341, "")
</f>
        <v>1</v>
      </c>
      <c r="B342" s="1781"/>
      <c r="C342" s="1781" t="s">
        <v>804</v>
      </c>
      <c r="T342" s="2290">
        <f t="shared" ref="T342:T348" si="58">IF(V342&lt;&gt;"", ROW()-341, "")
</f>
        <v>1</v>
      </c>
      <c r="V342" s="1781" t="s">
        <v>805</v>
      </c>
      <c r="AL342" s="2291"/>
      <c r="AM342" s="1781"/>
      <c r="AN342" s="1957"/>
      <c r="AO342" s="1957"/>
      <c r="AP342" s="867">
        <f>'OPI Constr'!AI165</f>
        <v>2433000</v>
      </c>
      <c r="AQ342" s="867"/>
      <c r="AR342" s="63"/>
      <c r="AS342" s="63"/>
      <c r="AT342" s="868"/>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ht="12.75" customHeight="1">
      <c r="A343" s="2290">
        <f t="shared" si="57"/>
        <v>2</v>
      </c>
      <c r="B343" s="1781"/>
      <c r="C343" s="1781" t="s">
        <v>806</v>
      </c>
      <c r="T343" s="2290">
        <f t="shared" si="58"/>
        <v>2</v>
      </c>
      <c r="V343" s="1781" t="s">
        <v>807</v>
      </c>
      <c r="AL343" s="2291"/>
      <c r="AM343" s="1781"/>
      <c r="AN343" s="1957"/>
      <c r="AO343" s="1957"/>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ht="12.75" customHeight="1">
      <c r="A344" s="2290">
        <f t="shared" si="57"/>
        <v>3</v>
      </c>
      <c r="B344" s="1781"/>
      <c r="C344" s="1781" t="s">
        <v>808</v>
      </c>
      <c r="T344" s="2290" t="str">
        <f t="shared" si="58"/>
        <v/>
      </c>
      <c r="V344" s="1781"/>
      <c r="AL344" s="2291"/>
      <c r="AM344" s="1781"/>
      <c r="AN344" s="1957"/>
      <c r="AO344" s="1957"/>
      <c r="AP344" s="869" t="str">
        <f>BA361</f>
        <v>DOS MILLONES CUATROCIENTOS TREINTA Y TRES  MIL  PESOS 00/100  M.N.</v>
      </c>
      <c r="AQ344" s="869"/>
      <c r="AR344" s="870"/>
      <c r="AS344" s="870"/>
      <c r="AT344" s="870"/>
      <c r="AU344" s="870"/>
      <c r="AV344" s="870"/>
      <c r="AW344" s="870"/>
      <c r="AX344" s="870"/>
      <c r="AY344" s="870"/>
      <c r="AZ344" s="870"/>
      <c r="BA344" s="870"/>
      <c r="BB344" s="870"/>
      <c r="BC344" s="870"/>
      <c r="BD344" s="870"/>
      <c r="BE344" s="63"/>
      <c r="BF344" s="63"/>
      <c r="BG344" s="63"/>
      <c r="BH344" s="63"/>
      <c r="BI344" s="63"/>
      <c r="BJ344" s="63"/>
      <c r="BK344" s="63"/>
      <c r="BL344" s="63"/>
      <c r="BM344" s="63"/>
      <c r="BN344" s="63"/>
      <c r="BO344" s="63"/>
      <c r="BP344" s="63"/>
    </row>
    <row r="345" ht="12.75" customHeight="1">
      <c r="A345" s="2290" t="str">
        <f t="shared" si="57"/>
        <v/>
      </c>
      <c r="B345" s="1781"/>
      <c r="C345" s="1781"/>
      <c r="T345" s="2290" t="str">
        <f t="shared" si="58"/>
        <v/>
      </c>
      <c r="V345" s="1781"/>
      <c r="AL345" s="2291"/>
      <c r="AM345" s="1781"/>
      <c r="AN345" s="1957"/>
      <c r="AO345" s="1957"/>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ht="12.75" hidden="1" customHeight="1">
      <c r="A346" s="2290" t="str">
        <f t="shared" si="57"/>
        <v/>
      </c>
      <c r="B346" s="1781"/>
      <c r="C346" s="1781"/>
      <c r="T346" s="2290" t="str">
        <f t="shared" si="58"/>
        <v/>
      </c>
      <c r="V346" s="1781"/>
      <c r="AL346" s="2291"/>
      <c r="AM346" s="1781"/>
      <c r="AN346" s="1957"/>
      <c r="AO346" s="1957"/>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ht="12.75" hidden="1" customHeight="1">
      <c r="A347" s="2290" t="str">
        <f t="shared" si="57"/>
        <v/>
      </c>
      <c r="B347" s="1781"/>
      <c r="C347" s="1781"/>
      <c r="T347" s="2290" t="str">
        <f t="shared" si="58"/>
        <v/>
      </c>
      <c r="V347" s="1781"/>
      <c r="AL347" s="2291"/>
      <c r="AM347" s="1781"/>
      <c r="AN347" s="1957"/>
      <c r="AO347" s="1957"/>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ht="12.75" hidden="1" customHeight="1">
      <c r="A348" s="2290" t="str">
        <f t="shared" si="57"/>
        <v/>
      </c>
      <c r="B348" s="1781"/>
      <c r="C348" s="1781"/>
      <c r="T348" s="2290" t="str">
        <f t="shared" si="58"/>
        <v/>
      </c>
      <c r="V348" s="1781"/>
      <c r="AL348" s="2291"/>
      <c r="AM348" s="1781"/>
      <c r="AN348" s="1957"/>
      <c r="AO348" s="1957"/>
      <c r="AP348" s="871"/>
      <c r="AQ348" s="871"/>
      <c r="AR348" s="872" t="s">
        <v>305</v>
      </c>
      <c r="AS348" s="873"/>
      <c r="AT348" s="873" t="s">
        <v>306</v>
      </c>
      <c r="AU348" s="873" t="s">
        <v>306</v>
      </c>
      <c r="AV348" s="873"/>
      <c r="AW348" s="873" t="s">
        <v>307</v>
      </c>
      <c r="AX348" s="874"/>
      <c r="AY348" s="871"/>
      <c r="AZ348" s="875" t="s">
        <v>308</v>
      </c>
      <c r="BA348" s="875" t="s">
        <v>309</v>
      </c>
      <c r="BB348" s="875"/>
      <c r="BC348" s="875" t="s">
        <v>310</v>
      </c>
      <c r="BD348" s="875" t="s">
        <v>311</v>
      </c>
      <c r="BE348" s="875"/>
      <c r="BF348" s="875" t="s">
        <v>312</v>
      </c>
      <c r="BG348" s="875"/>
      <c r="BH348" s="875"/>
      <c r="BI348" s="875" t="s">
        <v>313</v>
      </c>
      <c r="BJ348" s="875"/>
      <c r="BK348" s="875"/>
      <c r="BL348" s="875"/>
      <c r="BM348" s="875" t="s">
        <v>314</v>
      </c>
      <c r="BN348" s="875"/>
      <c r="BO348" s="875"/>
      <c r="BP348" s="875" t="s">
        <v>315</v>
      </c>
    </row>
    <row r="349" ht="12.75" customHeight="1">
      <c r="A349" s="1782" t="s">
        <v>684</v>
      </c>
      <c r="B349" s="1781"/>
      <c r="C349" s="1781"/>
      <c r="D349" s="1781"/>
      <c r="E349" s="1781"/>
      <c r="F349" s="1781"/>
      <c r="G349" s="1781"/>
      <c r="H349" s="1781"/>
      <c r="I349" s="1781"/>
      <c r="J349" s="1781"/>
      <c r="K349" s="1781"/>
      <c r="L349" s="1781"/>
      <c r="M349" s="1781"/>
      <c r="N349" s="1781"/>
      <c r="O349" s="1781"/>
      <c r="P349" s="1781"/>
      <c r="Q349" s="1781"/>
      <c r="R349" s="1781"/>
      <c r="T349" s="1781"/>
      <c r="V349" s="1781"/>
      <c r="AL349" s="2291"/>
      <c r="AM349" s="1781"/>
      <c r="AN349" s="1957"/>
      <c r="AO349" s="1957"/>
      <c r="AP349" s="879">
        <v>1.0</v>
      </c>
      <c r="AQ349" s="880"/>
      <c r="AR349" s="881" t="s">
        <v>316</v>
      </c>
      <c r="AS349" s="881"/>
      <c r="AT349" s="881" t="s">
        <v>317</v>
      </c>
      <c r="AU349" s="881" t="s">
        <v>318</v>
      </c>
      <c r="AV349" s="881"/>
      <c r="AW349" s="881" t="s">
        <v>319</v>
      </c>
      <c r="AX349" s="882" t="s">
        <v>320</v>
      </c>
      <c r="AY349" s="871"/>
      <c r="AZ349" s="871" t="str">
        <f>IF(AND(AP349=AR341,AT341=1),AU349,IF(AND(AT341=0,AR341=1),AT349,""))</f>
        <v/>
      </c>
      <c r="BA349" s="871" t="str">
        <f>IF(AND(AP349=AT341,AR341=0),AX349,IF(AR341=1,"",IF(AP349=AT341,AR349,"")))</f>
        <v/>
      </c>
      <c r="BB349" s="871"/>
      <c r="BC349" s="871" t="str">
        <f>IF(AND(AP349=AU341,AW341&gt;=0,AX341&gt;=0),AW349,IF(AND(AP349=AU341,AW341=0,AX341=0),AT360,""))</f>
        <v/>
      </c>
      <c r="BD349" s="871" t="str">
        <f>IF(AND(AP349=AW341,AX341=1),AU349,IF(AND(AX341=0,AW341=1),AT349,""))</f>
        <v/>
      </c>
      <c r="BE349" s="871"/>
      <c r="BF349" s="871" t="str">
        <f>IF(AW341=1,"",IF(AP349=AX341,AR349,""))</f>
        <v/>
      </c>
      <c r="BG349" s="871"/>
      <c r="BH349" s="871"/>
      <c r="BI349" s="871" t="str">
        <f>IF(AND(AP349=AZ341,BA341&gt;=0,BC341&gt;=0),AW349,IF(AND(AP349=AZ341,BA341=0,BC341=0),AT360,""))</f>
        <v/>
      </c>
      <c r="BJ349" s="871"/>
      <c r="BK349" s="871"/>
      <c r="BL349" s="871"/>
      <c r="BM349" s="871" t="str">
        <f>IF(AND(AP349=BA341,BC341=1),AU349,IF(AND(BC341=0,BA341=1),AT349,""))</f>
        <v/>
      </c>
      <c r="BN349" s="871"/>
      <c r="BO349" s="871"/>
      <c r="BP349" s="871" t="str">
        <f>IF(BA341=1,"",IF(AP349=BC341,AR349,""))</f>
        <v/>
      </c>
    </row>
    <row r="350" ht="12.75" customHeight="1">
      <c r="A350" s="2292" t="s">
        <v>809</v>
      </c>
      <c r="AM350" s="1781"/>
      <c r="AN350" s="1957"/>
      <c r="AO350" s="1957"/>
      <c r="AP350" s="885">
        <v>2.0</v>
      </c>
      <c r="AQ350" s="886"/>
      <c r="AR350" s="887" t="s">
        <v>321</v>
      </c>
      <c r="AS350" s="887"/>
      <c r="AT350" s="887" t="s">
        <v>322</v>
      </c>
      <c r="AU350" s="887" t="s">
        <v>323</v>
      </c>
      <c r="AV350" s="887"/>
      <c r="AW350" s="887" t="s">
        <v>324</v>
      </c>
      <c r="AX350" s="888" t="s">
        <v>325</v>
      </c>
      <c r="AY350" s="871"/>
      <c r="AZ350" s="871" t="str">
        <f>IF(AND(AP350=AR341,AT341&gt;0),AT350,IF(AND(AR341=2,AT341=0),"VEINTE",IF(AND(AR341=1,AT341=2),AU350,"")))</f>
        <v/>
      </c>
      <c r="BA350" s="871" t="str">
        <f>IF(AND(AT341&lt;6,AR341=1),"",IF(AP350=AT341,AX350,""))</f>
        <v>DOS MILLONES </v>
      </c>
      <c r="BB350" s="871"/>
      <c r="BC350" s="871" t="str">
        <f>IF(AP350=AU341,AW350,"")</f>
        <v/>
      </c>
      <c r="BD350" s="871" t="str">
        <f>IF(AND(AP350=AW341,AX341&gt;0),AT350,IF(AND(AW341=2,AX341=0),"VEINTE",IF(AND(AW341=1,AX341=2),AU350,"")))</f>
        <v/>
      </c>
      <c r="BE350" s="871"/>
      <c r="BF350" s="871" t="str">
        <f>IF(AW341=1,"",IF(AP350=AX341,AR350,""))</f>
        <v/>
      </c>
      <c r="BG350" s="871"/>
      <c r="BH350" s="871"/>
      <c r="BI350" s="871" t="str">
        <f>IF(AP350=AZ341,AW350,"")</f>
        <v/>
      </c>
      <c r="BJ350" s="871"/>
      <c r="BK350" s="871"/>
      <c r="BL350" s="871"/>
      <c r="BM350" s="871" t="str">
        <f>IF(AND(AP350=BA341,BC341&gt;0),AT350,IF(AND(BA341=2,BC341=0),"VEINTE",IF(AND(BA341=1,BC341=2),AU350,"")))</f>
        <v/>
      </c>
      <c r="BN350" s="871"/>
      <c r="BO350" s="871"/>
      <c r="BP350" s="871" t="str">
        <f>IF(BA341=1,"",IF(AP350=BC341,AR350,""))</f>
        <v/>
      </c>
    </row>
    <row r="351" ht="12.75" customHeight="1">
      <c r="AM351" s="1781"/>
      <c r="AN351" s="1957"/>
      <c r="AO351" s="1957"/>
      <c r="AP351" s="885">
        <v>3.0</v>
      </c>
      <c r="AQ351" s="886"/>
      <c r="AR351" s="887" t="s">
        <v>326</v>
      </c>
      <c r="AS351" s="887"/>
      <c r="AT351" s="887" t="s">
        <v>327</v>
      </c>
      <c r="AU351" s="887" t="s">
        <v>328</v>
      </c>
      <c r="AV351" s="887"/>
      <c r="AW351" s="887" t="s">
        <v>329</v>
      </c>
      <c r="AX351" s="888" t="s">
        <v>330</v>
      </c>
      <c r="AY351" s="871"/>
      <c r="AZ351" s="871" t="str">
        <f>IF(AP351=AR341,AT351,IF(AND(AT341=3,AR341=1),AU351,""))</f>
        <v/>
      </c>
      <c r="BA351" s="871" t="str">
        <f>IF(AND(AT341&lt;6,AR341=1),"",IF(AP351=AT341,AX351,""))</f>
        <v/>
      </c>
      <c r="BB351" s="871"/>
      <c r="BC351" s="871" t="str">
        <f>IF(AP351=AU341,AW351,"")</f>
        <v/>
      </c>
      <c r="BD351" s="871" t="str">
        <f>IF(AP351=AW341,AT351,IF(AND(AX341=3,AW341=1),AU351,""))</f>
        <v>TREINTA </v>
      </c>
      <c r="BE351" s="871"/>
      <c r="BF351" s="871" t="str">
        <f>IF(AW341=1,"",IF(AP351=AX341,AR351,""))</f>
        <v>TRES </v>
      </c>
      <c r="BG351" s="871"/>
      <c r="BH351" s="871"/>
      <c r="BI351" s="871" t="str">
        <f>IF(AP351=AZ341,AW351,"")</f>
        <v/>
      </c>
      <c r="BJ351" s="871"/>
      <c r="BK351" s="871"/>
      <c r="BL351" s="871"/>
      <c r="BM351" s="871" t="str">
        <f>IF(AP351=BA341,AT351,IF(AND(BC341=3,BA341=1),AU351,""))</f>
        <v/>
      </c>
      <c r="BN351" s="871"/>
      <c r="BO351" s="871"/>
      <c r="BP351" s="871" t="str">
        <f>IF(BA341=1,"",IF(AP351=BC341,AR351,""))</f>
        <v/>
      </c>
      <c r="BR351" s="56"/>
    </row>
    <row r="352" ht="12.75" customHeight="1">
      <c r="AM352" s="1781"/>
      <c r="AN352" s="1957"/>
      <c r="AO352" s="1957"/>
      <c r="AP352" s="885">
        <v>4.0</v>
      </c>
      <c r="AQ352" s="886"/>
      <c r="AR352" s="887" t="s">
        <v>331</v>
      </c>
      <c r="AS352" s="887"/>
      <c r="AT352" s="887" t="s">
        <v>332</v>
      </c>
      <c r="AU352" s="887" t="s">
        <v>333</v>
      </c>
      <c r="AV352" s="887"/>
      <c r="AW352" s="887" t="s">
        <v>334</v>
      </c>
      <c r="AX352" s="888" t="s">
        <v>335</v>
      </c>
      <c r="AY352" s="871"/>
      <c r="AZ352" s="871" t="str">
        <f>IF(AP352=AR341,AT352,IF(AND(AT341=4,AR341=1),AU352,""))</f>
        <v/>
      </c>
      <c r="BA352" s="871" t="str">
        <f>IF(AND(AT341&lt;6,AR341=1),"",IF(AP352=AT341,AX352,""))</f>
        <v/>
      </c>
      <c r="BB352" s="871"/>
      <c r="BC352" s="871" t="str">
        <f>IF(AP352=AU341,AW352,"")</f>
        <v>CUATROCIENTOS </v>
      </c>
      <c r="BD352" s="871" t="str">
        <f>IF(AP352=AW341,AT352,IF(AND(AX341=4,AW341=1),AU352,""))</f>
        <v/>
      </c>
      <c r="BE352" s="871"/>
      <c r="BF352" s="871" t="str">
        <f>IF(AW341=1,"",IF(AP352=AX341,AR352,""))</f>
        <v/>
      </c>
      <c r="BG352" s="871"/>
      <c r="BH352" s="871"/>
      <c r="BI352" s="871" t="str">
        <f>IF(AP352=AZ341,AW352,"")</f>
        <v/>
      </c>
      <c r="BJ352" s="871"/>
      <c r="BK352" s="871"/>
      <c r="BL352" s="871"/>
      <c r="BM352" s="871" t="str">
        <f>IF(AP352=BA341,AT352,IF(AND(BC341=4,BA341=1),AU352,""))</f>
        <v/>
      </c>
      <c r="BN352" s="871"/>
      <c r="BO352" s="871"/>
      <c r="BP352" s="871" t="str">
        <f>IF(BA341=1,"",IF(AP352=BC341,AR352,""))</f>
        <v/>
      </c>
      <c r="BR352" s="56"/>
    </row>
    <row r="353" ht="12.75" customHeight="1">
      <c r="AM353" s="1781"/>
      <c r="AN353" s="1957"/>
      <c r="AO353" s="1957"/>
      <c r="AP353" s="885">
        <v>5.0</v>
      </c>
      <c r="AQ353" s="886"/>
      <c r="AR353" s="887" t="s">
        <v>336</v>
      </c>
      <c r="AS353" s="887"/>
      <c r="AT353" s="887" t="s">
        <v>337</v>
      </c>
      <c r="AU353" s="887" t="s">
        <v>338</v>
      </c>
      <c r="AV353" s="887"/>
      <c r="AW353" s="887" t="s">
        <v>339</v>
      </c>
      <c r="AX353" s="888" t="s">
        <v>340</v>
      </c>
      <c r="AY353" s="871"/>
      <c r="AZ353" s="871" t="str">
        <f>IF(AP353=AR341,AT353,IF(AND(AT341=5,AR341=1),AU353,""))</f>
        <v/>
      </c>
      <c r="BA353" s="871" t="str">
        <f>IF(AND(AT341&lt;6,AR341=1),"",IF(AP353=AT341,AX353,""))</f>
        <v/>
      </c>
      <c r="BB353" s="871"/>
      <c r="BC353" s="871" t="str">
        <f>IF(AP353=AU341,AW353,"")</f>
        <v/>
      </c>
      <c r="BD353" s="871" t="str">
        <f>IF(AP353=AW341,AT353,IF(AND(AX341=5,AW341=1),AU353,""))</f>
        <v/>
      </c>
      <c r="BE353" s="871"/>
      <c r="BF353" s="871" t="str">
        <f>IF(AW341=1,"",IF(AP353=AX341,AR353,""))</f>
        <v/>
      </c>
      <c r="BG353" s="871"/>
      <c r="BH353" s="871"/>
      <c r="BI353" s="871" t="str">
        <f>IF(AP353=AZ341,AW353,"")</f>
        <v/>
      </c>
      <c r="BJ353" s="871"/>
      <c r="BK353" s="871"/>
      <c r="BL353" s="871"/>
      <c r="BM353" s="871" t="str">
        <f>IF(AP353=BA341,AT353,IF(AND(BC341=5,BA341=1),AU353,""))</f>
        <v/>
      </c>
      <c r="BN353" s="871"/>
      <c r="BO353" s="871"/>
      <c r="BP353" s="871" t="str">
        <f>IF(BA341=1,"",IF(AP353=BC341,AR353,""))</f>
        <v/>
      </c>
      <c r="BR353" s="56"/>
    </row>
    <row r="354" ht="12.75" customHeight="1">
      <c r="AM354" s="1781"/>
      <c r="AN354" s="1957"/>
      <c r="AO354" s="1957"/>
      <c r="AP354" s="885">
        <v>6.0</v>
      </c>
      <c r="AQ354" s="886"/>
      <c r="AR354" s="887" t="s">
        <v>341</v>
      </c>
      <c r="AS354" s="887"/>
      <c r="AT354" s="887" t="s">
        <v>342</v>
      </c>
      <c r="AU354" s="887" t="s">
        <v>343</v>
      </c>
      <c r="AV354" s="887"/>
      <c r="AW354" s="887" t="s">
        <v>344</v>
      </c>
      <c r="AX354" s="888" t="s">
        <v>345</v>
      </c>
      <c r="AY354" s="871"/>
      <c r="AZ354" s="871" t="str">
        <f>IF(AP354=AR341,AT354,IF(AND(AT341&gt;5,AR341=1),AU354,""))</f>
        <v/>
      </c>
      <c r="BA354" s="871" t="str">
        <f>IF(AP354=AT341,AX354,"")</f>
        <v/>
      </c>
      <c r="BB354" s="871"/>
      <c r="BC354" s="871" t="str">
        <f>IF(AP354=AU341,AW354,"")</f>
        <v/>
      </c>
      <c r="BD354" s="871" t="str">
        <f>IF(AP354=AW341,AT354,IF(AND(AX341&gt;5,AW341=1),AU354,""))</f>
        <v/>
      </c>
      <c r="BE354" s="871"/>
      <c r="BF354" s="871" t="str">
        <f>IF(AP354=AX341,AR354,"")</f>
        <v/>
      </c>
      <c r="BG354" s="871"/>
      <c r="BH354" s="871"/>
      <c r="BI354" s="871" t="str">
        <f>IF(AP354=AZ341,AW354,"")</f>
        <v/>
      </c>
      <c r="BJ354" s="871"/>
      <c r="BK354" s="871"/>
      <c r="BL354" s="871"/>
      <c r="BM354" s="871" t="str">
        <f>IF(AP354=BA341,AT354,IF(AND(BC341&gt;5,BA341=1),AU354,""))</f>
        <v/>
      </c>
      <c r="BN354" s="871"/>
      <c r="BO354" s="871"/>
      <c r="BP354" s="871" t="str">
        <f>IF(AP354=BC341,AR354,"")</f>
        <v/>
      </c>
      <c r="BR354" s="56"/>
    </row>
    <row r="355" ht="12.75" customHeight="1">
      <c r="AM355" s="1781"/>
      <c r="AN355" s="1957"/>
      <c r="AO355" s="1957"/>
      <c r="AP355" s="885">
        <v>7.0</v>
      </c>
      <c r="AQ355" s="886"/>
      <c r="AR355" s="887" t="s">
        <v>346</v>
      </c>
      <c r="AS355" s="887"/>
      <c r="AT355" s="887" t="s">
        <v>347</v>
      </c>
      <c r="AU355" s="887" t="s">
        <v>343</v>
      </c>
      <c r="AV355" s="887"/>
      <c r="AW355" s="887" t="s">
        <v>348</v>
      </c>
      <c r="AX355" s="888" t="s">
        <v>349</v>
      </c>
      <c r="AY355" s="871"/>
      <c r="AZ355" s="871" t="str">
        <f>IF(AP355=AR341,AT355,"")</f>
        <v/>
      </c>
      <c r="BA355" s="871" t="str">
        <f>IF(AP355=AT341,AX355,"")</f>
        <v/>
      </c>
      <c r="BB355" s="871"/>
      <c r="BC355" s="871" t="str">
        <f>IF(AP355=AU341,AW355,"")</f>
        <v/>
      </c>
      <c r="BD355" s="871" t="str">
        <f>IF(AP355=AW341,AT355,"")</f>
        <v/>
      </c>
      <c r="BE355" s="871"/>
      <c r="BF355" s="871" t="str">
        <f>IF(AP355=AX341,AR355,"")</f>
        <v/>
      </c>
      <c r="BG355" s="871"/>
      <c r="BH355" s="871"/>
      <c r="BI355" s="871" t="str">
        <f>IF(AP355=AZ341,AW355,"")</f>
        <v/>
      </c>
      <c r="BJ355" s="871"/>
      <c r="BK355" s="871"/>
      <c r="BL355" s="871"/>
      <c r="BM355" s="871" t="str">
        <f>IF(AP355=BA341,AT355,"")</f>
        <v/>
      </c>
      <c r="BN355" s="871"/>
      <c r="BO355" s="871"/>
      <c r="BP355" s="871" t="str">
        <f>IF(AP355=BC341,AR355,"")</f>
        <v/>
      </c>
      <c r="BR355" s="56"/>
    </row>
    <row r="356" ht="12.75" customHeight="1">
      <c r="AM356" s="1781"/>
      <c r="AN356" s="1957"/>
      <c r="AO356" s="1957"/>
      <c r="AP356" s="885">
        <v>8.0</v>
      </c>
      <c r="AQ356" s="886"/>
      <c r="AR356" s="887" t="s">
        <v>350</v>
      </c>
      <c r="AS356" s="887"/>
      <c r="AT356" s="887" t="s">
        <v>351</v>
      </c>
      <c r="AU356" s="887" t="s">
        <v>343</v>
      </c>
      <c r="AV356" s="887"/>
      <c r="AW356" s="887" t="s">
        <v>352</v>
      </c>
      <c r="AX356" s="888" t="s">
        <v>353</v>
      </c>
      <c r="AY356" s="871"/>
      <c r="AZ356" s="871" t="str">
        <f>IF(AP356=AR341,AT356,"")</f>
        <v/>
      </c>
      <c r="BA356" s="871" t="str">
        <f>IF(AP356=AT341,AX356,"")</f>
        <v/>
      </c>
      <c r="BB356" s="871"/>
      <c r="BC356" s="871" t="str">
        <f>IF(AP356=AU341,AW356,"")</f>
        <v/>
      </c>
      <c r="BD356" s="871" t="str">
        <f>IF(AP356=AW341,AT356,"")</f>
        <v/>
      </c>
      <c r="BE356" s="871"/>
      <c r="BF356" s="871" t="str">
        <f>IF(AP356=AX341,AR356,"")</f>
        <v/>
      </c>
      <c r="BG356" s="871"/>
      <c r="BH356" s="871"/>
      <c r="BI356" s="871" t="str">
        <f>IF(AP356=AZ341,AW356,"")</f>
        <v/>
      </c>
      <c r="BJ356" s="871"/>
      <c r="BK356" s="871"/>
      <c r="BL356" s="871"/>
      <c r="BM356" s="871" t="str">
        <f>IF(AP356=BA341,AT356,"")</f>
        <v/>
      </c>
      <c r="BN356" s="871"/>
      <c r="BO356" s="871"/>
      <c r="BP356" s="871" t="str">
        <f>IF(AP356=BC341,AR356,"")</f>
        <v/>
      </c>
      <c r="BR356" s="56"/>
    </row>
    <row r="357" ht="12.75" customHeight="1">
      <c r="AM357" s="1781"/>
      <c r="AN357" s="1957"/>
      <c r="AO357" s="1957"/>
      <c r="AP357" s="885">
        <v>9.0</v>
      </c>
      <c r="AQ357" s="886"/>
      <c r="AR357" s="887" t="s">
        <v>354</v>
      </c>
      <c r="AS357" s="887"/>
      <c r="AT357" s="887" t="s">
        <v>355</v>
      </c>
      <c r="AU357" s="887" t="s">
        <v>343</v>
      </c>
      <c r="AV357" s="887"/>
      <c r="AW357" s="887" t="s">
        <v>356</v>
      </c>
      <c r="AX357" s="888" t="s">
        <v>357</v>
      </c>
      <c r="AY357" s="871"/>
      <c r="AZ357" s="871" t="str">
        <f>IF(AP357=AR341,AT357,"")</f>
        <v/>
      </c>
      <c r="BA357" s="871" t="str">
        <f>IF(AP357=AT341,AX357,"")</f>
        <v/>
      </c>
      <c r="BB357" s="871"/>
      <c r="BC357" s="871" t="str">
        <f>IF(AP357=AU341,AW357,"")</f>
        <v/>
      </c>
      <c r="BD357" s="871" t="str">
        <f>IF(AP357=AW341,AT357,"")</f>
        <v/>
      </c>
      <c r="BE357" s="871"/>
      <c r="BF357" s="871" t="str">
        <f>IF(AP357=AX341,AR357,"")</f>
        <v/>
      </c>
      <c r="BG357" s="871"/>
      <c r="BH357" s="871"/>
      <c r="BI357" s="871" t="str">
        <f>IF(AP357=AZ341,AW357,"")</f>
        <v/>
      </c>
      <c r="BJ357" s="871"/>
      <c r="BK357" s="871"/>
      <c r="BL357" s="871"/>
      <c r="BM357" s="871" t="str">
        <f>IF(AP357=BA341,AT357,"")</f>
        <v/>
      </c>
      <c r="BN357" s="871"/>
      <c r="BO357" s="871"/>
      <c r="BP357" s="871" t="str">
        <f>IF(AP357=BC341,AR357,"")</f>
        <v/>
      </c>
      <c r="BR357" s="56"/>
    </row>
    <row r="358" ht="12.75" customHeight="1">
      <c r="AM358" s="1781"/>
      <c r="AN358" s="1957"/>
      <c r="AO358" s="1957"/>
      <c r="AP358" s="889">
        <v>0.0</v>
      </c>
      <c r="AQ358" s="890"/>
      <c r="AR358" s="891" t="s">
        <v>104</v>
      </c>
      <c r="AS358" s="891"/>
      <c r="AT358" s="891" t="s">
        <v>104</v>
      </c>
      <c r="AU358" s="891" t="s">
        <v>343</v>
      </c>
      <c r="AV358" s="891"/>
      <c r="AW358" s="891"/>
      <c r="AX358" s="892"/>
      <c r="AY358" s="871"/>
      <c r="AZ358" s="871"/>
      <c r="BA358" s="871"/>
      <c r="BB358" s="871"/>
      <c r="BC358" s="871"/>
      <c r="BD358" s="871"/>
      <c r="BE358" s="871"/>
      <c r="BF358" s="871"/>
      <c r="BG358" s="871"/>
      <c r="BH358" s="871"/>
      <c r="BI358" s="871"/>
      <c r="BJ358" s="871"/>
      <c r="BK358" s="871"/>
      <c r="BL358" s="871"/>
      <c r="BM358" s="871"/>
      <c r="BN358" s="871"/>
      <c r="BO358" s="871"/>
      <c r="BP358" s="871"/>
      <c r="BR358" s="56"/>
    </row>
    <row r="359" ht="12.75" customHeight="1">
      <c r="AM359" s="1781"/>
      <c r="AN359" s="1957"/>
      <c r="AO359" s="1957"/>
      <c r="AP359" s="63"/>
      <c r="AQ359" s="63"/>
      <c r="AR359" s="63"/>
      <c r="AS359" s="63"/>
      <c r="AT359" s="63"/>
      <c r="AU359" s="63"/>
      <c r="AV359" s="63"/>
      <c r="AW359" s="63"/>
      <c r="AX359" s="63"/>
      <c r="AY359" s="63"/>
      <c r="AZ359" s="871" t="str">
        <f t="shared" ref="AZ359:BA359" si="59">CONCATENATE(AZ349,AZ350,AZ351,AZ352,AZ353,AZ354,AZ355,AZ356,AZ357)</f>
        <v/>
      </c>
      <c r="BA359" s="871" t="str">
        <f t="shared" si="59"/>
        <v>DOS MILLONES </v>
      </c>
      <c r="BB359" s="871"/>
      <c r="BC359" s="871" t="str">
        <f t="shared" ref="BC359:BD359" si="60">CONCATENATE(BC349,BC350,BC351,BC352,BC353,BC354,BC355,BC356,BC357)</f>
        <v>CUATROCIENTOS </v>
      </c>
      <c r="BD359" s="871" t="str">
        <f t="shared" si="60"/>
        <v>TREINTA </v>
      </c>
      <c r="BE359" s="871" t="str">
        <f>IF(AND(AX341&gt;0,AW341&gt;2),AX360,"")</f>
        <v>Y </v>
      </c>
      <c r="BF359" s="871" t="str">
        <f>CONCATENATE(BF349,BF350,BF351,BF352,BF353,BF354,BF355,BF356,BF357)</f>
        <v>TRES </v>
      </c>
      <c r="BG359" s="871"/>
      <c r="BH359" s="871" t="str">
        <f>IF(AX341&gt;0,AU360,IF(AW341&gt;0,AU360,IF(AU341&gt;0,AU360,"")))</f>
        <v> MIL </v>
      </c>
      <c r="BI359" s="871" t="str">
        <f>CONCATENATE(BI349,BI350,BI351,BI352,BI353,BI354,BI355,BI356,BI357)</f>
        <v/>
      </c>
      <c r="BJ359" s="871"/>
      <c r="BK359" s="871"/>
      <c r="BL359" s="871"/>
      <c r="BM359" s="871" t="str">
        <f>CONCATENATE(BM349,BM350,BM351,BM352,BM353,BM354,BM355,BM356,BM357)</f>
        <v/>
      </c>
      <c r="BN359" s="871" t="str">
        <f>IF(AND(BC341&gt;0,BA341&gt;2),AX360,"")</f>
        <v/>
      </c>
      <c r="BO359" s="871"/>
      <c r="BP359" s="871" t="str">
        <f>CONCATENATE(BP349,BP350,BP351,BP352,BP353,BP354,BP355,BP356,BP357)</f>
        <v/>
      </c>
      <c r="BR359" s="877"/>
    </row>
    <row r="360" ht="12.75" customHeight="1">
      <c r="AM360" s="1781"/>
      <c r="AN360" s="1957"/>
      <c r="AO360" s="1957"/>
      <c r="AP360" s="63"/>
      <c r="AQ360" s="63"/>
      <c r="AR360" s="887" t="s">
        <v>358</v>
      </c>
      <c r="AS360" s="887"/>
      <c r="AT360" s="887" t="s">
        <v>359</v>
      </c>
      <c r="AU360" s="887" t="s">
        <v>360</v>
      </c>
      <c r="AV360" s="887"/>
      <c r="AW360" s="887" t="s">
        <v>361</v>
      </c>
      <c r="AX360" s="887" t="s">
        <v>362</v>
      </c>
      <c r="AY360" s="871"/>
      <c r="AZ360" s="63"/>
      <c r="BA360" s="63"/>
      <c r="BB360" s="63"/>
      <c r="BC360" s="63"/>
      <c r="BD360" s="63"/>
      <c r="BE360" s="63"/>
      <c r="BF360" s="63"/>
      <c r="BG360" s="63"/>
      <c r="BH360" s="63"/>
      <c r="BI360" s="63"/>
      <c r="BJ360" s="63"/>
      <c r="BK360" s="63"/>
      <c r="BL360" s="63"/>
      <c r="BM360" s="63"/>
      <c r="BN360" s="63"/>
      <c r="BO360" s="63"/>
      <c r="BP360" s="63"/>
      <c r="BR360" s="884"/>
    </row>
    <row r="361" ht="12.75" customHeight="1">
      <c r="AM361" s="1781"/>
      <c r="AN361" s="1957"/>
      <c r="AO361" s="1957"/>
      <c r="AP361" s="1957"/>
      <c r="AQ361" s="1957"/>
      <c r="AR361" s="887" t="s">
        <v>358</v>
      </c>
      <c r="AS361" s="887"/>
      <c r="AT361" s="887" t="s">
        <v>363</v>
      </c>
      <c r="AU361" s="887" t="str">
        <f>IF(AND(AR341&gt;0,AT341&lt;2),AW361,IF(AND(AR341=1,AT341&lt;6),AW361,""))</f>
        <v/>
      </c>
      <c r="AV361" s="887"/>
      <c r="AW361" s="887" t="s">
        <v>364</v>
      </c>
      <c r="AX361" s="887" t="str">
        <f>IF(AND(AT341&gt;0,AR341&gt;2),AX360,"")</f>
        <v/>
      </c>
      <c r="AY361" s="871"/>
      <c r="AZ361" s="893" t="s">
        <v>365</v>
      </c>
      <c r="BA361" s="894" t="str">
        <f>CONCATENATE(AZ359,AX361,BA359,AU361,BC359,BD359,BE359,BF359,BH359,BI359,BM359,BN359,BP359,IF(AP342&gt;0,CONCATENATE(" PESOS ",BD341,"/100  M.N."),""))</f>
        <v>DOS MILLONES CUATROCIENTOS TREINTA Y TRES  MIL  PESOS 00/100  M.N.</v>
      </c>
      <c r="BB361" s="894"/>
      <c r="BR361" s="884"/>
    </row>
    <row r="362" ht="12.75" customHeight="1">
      <c r="AM362" s="1781"/>
      <c r="AN362" s="1957"/>
      <c r="AO362" s="1957"/>
      <c r="AP362" s="1957"/>
      <c r="AQ362" s="1957"/>
      <c r="AR362" s="1957"/>
      <c r="AS362" s="1957"/>
      <c r="AT362" s="1957"/>
      <c r="AU362" s="1957"/>
      <c r="AV362" s="1957"/>
      <c r="AW362" s="1957"/>
      <c r="AX362" s="1957"/>
      <c r="AY362" s="1957"/>
      <c r="AZ362" s="1957"/>
      <c r="BA362" s="1957"/>
      <c r="BB362" s="1957"/>
      <c r="BR362" s="884"/>
    </row>
    <row r="363" ht="12.75" customHeight="1">
      <c r="AM363" s="1781"/>
      <c r="AN363" s="1957"/>
      <c r="AO363" s="1957"/>
      <c r="AP363" s="1957"/>
      <c r="AQ363" s="1957"/>
      <c r="AR363" s="1957"/>
      <c r="AS363" s="1957"/>
      <c r="AT363" s="1957"/>
      <c r="AU363" s="1957"/>
      <c r="AV363" s="1957"/>
      <c r="AW363" s="1957"/>
      <c r="AX363" s="1957"/>
      <c r="AY363" s="1957"/>
      <c r="AZ363" s="1957"/>
      <c r="BA363" s="1957"/>
      <c r="BB363" s="1957"/>
      <c r="BR363" s="884"/>
    </row>
    <row r="364" ht="12.75" customHeight="1">
      <c r="AM364" s="1781"/>
      <c r="AN364" s="1957"/>
      <c r="AO364" s="1957"/>
      <c r="AP364" s="1957"/>
      <c r="AQ364" s="1957"/>
      <c r="AR364" s="1957"/>
      <c r="AS364" s="1957"/>
      <c r="AT364" s="1957"/>
      <c r="AU364" s="1957"/>
      <c r="AV364" s="1957"/>
      <c r="AW364" s="1957"/>
      <c r="AX364" s="1957"/>
      <c r="AY364" s="1957"/>
      <c r="AZ364" s="1957"/>
      <c r="BA364" s="1957"/>
      <c r="BB364" s="1957"/>
      <c r="BR364" s="884"/>
    </row>
    <row r="365" ht="12.75" customHeight="1">
      <c r="AM365" s="1781"/>
      <c r="AN365" s="1957"/>
      <c r="AO365" s="1957"/>
      <c r="AP365" s="1957"/>
      <c r="AQ365" s="1957"/>
      <c r="AR365" s="1957"/>
      <c r="AS365" s="1957"/>
      <c r="AT365" s="1957"/>
      <c r="AU365" s="1957"/>
      <c r="AV365" s="1957"/>
      <c r="AW365" s="1957"/>
      <c r="AX365" s="1957"/>
      <c r="AY365" s="1957"/>
      <c r="AZ365" s="1957"/>
      <c r="BA365" s="1957"/>
      <c r="BB365" s="1957"/>
      <c r="BR365" s="884"/>
    </row>
    <row r="366" ht="12.75" customHeight="1">
      <c r="AM366" s="1781"/>
      <c r="AN366" s="1957"/>
      <c r="AO366" s="1957"/>
      <c r="AP366" s="1957"/>
      <c r="AQ366" s="1957"/>
      <c r="AR366" s="1957"/>
      <c r="AS366" s="1957"/>
      <c r="AT366" s="1957"/>
      <c r="AU366" s="1957"/>
      <c r="AV366" s="1957"/>
      <c r="AW366" s="1957"/>
      <c r="AX366" s="1957"/>
      <c r="AY366" s="1957"/>
      <c r="AZ366" s="1957"/>
      <c r="BA366" s="1957"/>
      <c r="BB366" s="1957"/>
      <c r="BR366" s="884"/>
    </row>
    <row r="367" ht="12.75" customHeight="1">
      <c r="AM367" s="1781"/>
      <c r="AN367" s="1957"/>
      <c r="AO367" s="1957"/>
      <c r="AP367" s="1957"/>
      <c r="AQ367" s="1957"/>
      <c r="AR367" s="1957"/>
      <c r="AS367" s="1957"/>
      <c r="AT367" s="1957"/>
      <c r="AU367" s="1957"/>
      <c r="AV367" s="1957"/>
      <c r="AW367" s="1957"/>
      <c r="AX367" s="1957"/>
      <c r="AY367" s="1957"/>
      <c r="AZ367" s="1957"/>
      <c r="BA367" s="1957"/>
      <c r="BB367" s="1957"/>
      <c r="BR367" s="884"/>
    </row>
    <row r="368" ht="12.75" customHeight="1">
      <c r="AM368" s="1781"/>
      <c r="AN368" s="1957"/>
      <c r="AO368" s="1957"/>
      <c r="AP368" s="1957"/>
      <c r="AQ368" s="1957"/>
      <c r="AR368" s="1957"/>
      <c r="AS368" s="1957"/>
      <c r="AT368" s="1957"/>
      <c r="AU368" s="1957"/>
      <c r="AV368" s="1957"/>
      <c r="AW368" s="1957"/>
      <c r="AX368" s="1957"/>
      <c r="AY368" s="1957"/>
      <c r="AZ368" s="1957"/>
      <c r="BA368" s="1957"/>
      <c r="BB368" s="1957"/>
      <c r="BR368" s="884"/>
    </row>
    <row r="369" ht="12.75" customHeight="1">
      <c r="AM369" s="1781"/>
      <c r="AN369" s="1957"/>
      <c r="AO369" s="1957"/>
      <c r="AP369" s="1957"/>
      <c r="AQ369" s="1957"/>
      <c r="AR369" s="1957"/>
      <c r="AS369" s="1957"/>
      <c r="AT369" s="1957"/>
      <c r="AU369" s="1957"/>
      <c r="AV369" s="1957"/>
      <c r="AW369" s="1957"/>
      <c r="AX369" s="1957"/>
      <c r="AY369" s="1957"/>
      <c r="AZ369" s="1957"/>
      <c r="BA369" s="1957"/>
      <c r="BB369" s="1957"/>
      <c r="BR369" s="884"/>
    </row>
    <row r="370" ht="12.75" customHeight="1">
      <c r="AM370" s="1781"/>
      <c r="AN370" s="1957"/>
      <c r="AO370" s="1957"/>
      <c r="AP370" s="1957"/>
      <c r="AQ370" s="1957"/>
      <c r="AR370" s="1957"/>
      <c r="AS370" s="1957"/>
      <c r="AT370" s="1957"/>
      <c r="AU370" s="1957"/>
      <c r="AV370" s="1957"/>
      <c r="AW370" s="1957"/>
      <c r="AX370" s="1957"/>
      <c r="AY370" s="1957"/>
      <c r="AZ370" s="1957"/>
      <c r="BA370" s="1957"/>
      <c r="BB370" s="1957"/>
      <c r="BR370" s="884"/>
    </row>
    <row r="371" ht="12.75" customHeight="1">
      <c r="AM371" s="1781"/>
      <c r="AN371" s="1957"/>
      <c r="AO371" s="1957"/>
      <c r="AP371" s="1957"/>
      <c r="AQ371" s="1957"/>
      <c r="AR371" s="1957"/>
      <c r="AS371" s="1957"/>
      <c r="AT371" s="1957"/>
      <c r="AU371" s="1957"/>
      <c r="AV371" s="1957"/>
      <c r="AW371" s="1957"/>
      <c r="AX371" s="1957"/>
      <c r="AY371" s="1957"/>
      <c r="AZ371" s="1957"/>
      <c r="BA371" s="1957"/>
      <c r="BB371" s="1957"/>
      <c r="BR371" s="56"/>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22" t="s">
        <v>810</v>
      </c>
      <c r="B1" s="2322" t="s">
        <v>747</v>
      </c>
      <c r="C1" s="2322" t="s">
        <v>811</v>
      </c>
      <c r="D1" s="2322" t="s">
        <v>129</v>
      </c>
      <c r="E1" s="2322" t="s">
        <v>812</v>
      </c>
      <c r="F1" s="2322" t="s">
        <v>813</v>
      </c>
      <c r="G1" s="2322" t="s">
        <v>814</v>
      </c>
      <c r="H1" s="2322" t="s">
        <v>815</v>
      </c>
      <c r="I1" s="2322" t="s">
        <v>816</v>
      </c>
      <c r="J1" s="2322" t="s">
        <v>817</v>
      </c>
      <c r="K1" s="2322" t="s">
        <v>818</v>
      </c>
      <c r="L1" s="2322" t="s">
        <v>819</v>
      </c>
      <c r="M1" s="2322" t="s">
        <v>820</v>
      </c>
      <c r="N1" s="2322" t="s">
        <v>821</v>
      </c>
      <c r="O1" s="2322" t="s">
        <v>822</v>
      </c>
      <c r="P1" s="2323"/>
      <c r="Q1" s="2323"/>
      <c r="R1" s="2323"/>
      <c r="S1" s="2323"/>
      <c r="T1" s="2323"/>
      <c r="U1" s="2323"/>
      <c r="V1" s="2323"/>
      <c r="W1" s="2323"/>
      <c r="X1" s="2323"/>
      <c r="Y1" s="2323"/>
      <c r="Z1" s="2323"/>
      <c r="AA1" s="232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24" t="s">
        <v>823</v>
      </c>
      <c r="B1" s="2324" t="s">
        <v>824</v>
      </c>
      <c r="C1" s="2324" t="s">
        <v>825</v>
      </c>
      <c r="D1" s="2324" t="s">
        <v>826</v>
      </c>
      <c r="E1" s="2325"/>
      <c r="F1" s="2325"/>
      <c r="G1" s="2325"/>
      <c r="H1" s="2325"/>
      <c r="I1" s="2325"/>
      <c r="J1" s="2325"/>
      <c r="K1" s="2325"/>
    </row>
    <row r="2">
      <c r="A2" s="2326" t="s">
        <v>827</v>
      </c>
      <c r="B2" s="2326" t="s">
        <v>828</v>
      </c>
      <c r="C2" s="7" t="s">
        <v>829</v>
      </c>
      <c r="D2" s="7" t="s">
        <v>830</v>
      </c>
      <c r="E2" s="2325"/>
      <c r="F2" s="2325"/>
      <c r="G2" s="2325"/>
      <c r="H2" s="2325"/>
      <c r="I2" s="2325"/>
      <c r="J2" s="2325"/>
      <c r="K2" s="2325"/>
    </row>
    <row r="3">
      <c r="C3" s="6"/>
      <c r="D3" s="2327"/>
      <c r="E3" s="2328" t="s">
        <v>831</v>
      </c>
      <c r="F3" s="85"/>
      <c r="G3" s="85"/>
      <c r="H3" s="85"/>
      <c r="I3" s="85"/>
      <c r="J3" s="85"/>
      <c r="K3" s="86"/>
    </row>
    <row r="4">
      <c r="A4" s="2329" t="s">
        <v>832</v>
      </c>
      <c r="B4" s="2329" t="s">
        <v>833</v>
      </c>
      <c r="C4" s="6" t="s">
        <v>834</v>
      </c>
      <c r="D4" s="2327" t="s">
        <v>835</v>
      </c>
      <c r="E4" s="2330" t="s">
        <v>836</v>
      </c>
      <c r="F4" s="2330" t="s">
        <v>837</v>
      </c>
      <c r="G4" s="2330" t="s">
        <v>838</v>
      </c>
      <c r="H4" s="2330" t="s">
        <v>839</v>
      </c>
      <c r="I4" s="2330" t="s">
        <v>840</v>
      </c>
      <c r="J4" s="2330" t="s">
        <v>841</v>
      </c>
      <c r="K4" s="2330" t="s">
        <v>842</v>
      </c>
    </row>
    <row r="5">
      <c r="A5" s="2329" t="s">
        <v>810</v>
      </c>
      <c r="B5" s="2329" t="s">
        <v>843</v>
      </c>
      <c r="C5" s="6" t="s">
        <v>844</v>
      </c>
      <c r="D5" s="6" t="b">
        <v>1</v>
      </c>
    </row>
    <row r="6">
      <c r="A6" s="2329" t="s">
        <v>747</v>
      </c>
      <c r="B6" s="2329" t="s">
        <v>843</v>
      </c>
      <c r="C6" s="6" t="s">
        <v>844</v>
      </c>
      <c r="D6" s="6" t="b">
        <v>1</v>
      </c>
    </row>
    <row r="7">
      <c r="A7" s="2329" t="s">
        <v>811</v>
      </c>
      <c r="B7" s="2329" t="s">
        <v>843</v>
      </c>
      <c r="C7" s="6" t="s">
        <v>844</v>
      </c>
      <c r="D7" s="6" t="b">
        <v>1</v>
      </c>
    </row>
    <row r="8">
      <c r="A8" s="2329" t="s">
        <v>129</v>
      </c>
      <c r="B8" s="2329" t="s">
        <v>843</v>
      </c>
      <c r="C8" s="6" t="s">
        <v>845</v>
      </c>
      <c r="D8" s="6" t="b">
        <v>1</v>
      </c>
      <c r="E8" s="6" t="s">
        <v>846</v>
      </c>
      <c r="F8" s="6" t="s">
        <v>847</v>
      </c>
    </row>
    <row r="9">
      <c r="A9" s="2329" t="s">
        <v>812</v>
      </c>
      <c r="B9" s="2329" t="s">
        <v>843</v>
      </c>
      <c r="C9" s="6" t="s">
        <v>844</v>
      </c>
      <c r="D9" s="6" t="b">
        <v>1</v>
      </c>
    </row>
    <row r="10">
      <c r="A10" s="2329" t="s">
        <v>813</v>
      </c>
      <c r="B10" s="2329" t="s">
        <v>843</v>
      </c>
      <c r="C10" s="6" t="s">
        <v>848</v>
      </c>
      <c r="D10" s="6" t="b">
        <v>1</v>
      </c>
      <c r="E10" s="6" t="s">
        <v>849</v>
      </c>
      <c r="F10" s="6" t="s">
        <v>850</v>
      </c>
      <c r="G10" s="6" t="s">
        <v>851</v>
      </c>
      <c r="H10" s="6" t="s">
        <v>852</v>
      </c>
    </row>
    <row r="11">
      <c r="A11" s="2329" t="s">
        <v>814</v>
      </c>
      <c r="B11" s="2329" t="s">
        <v>843</v>
      </c>
      <c r="C11" s="6" t="s">
        <v>853</v>
      </c>
      <c r="D11" s="6" t="b">
        <v>0</v>
      </c>
    </row>
    <row r="12">
      <c r="A12" s="2329" t="s">
        <v>815</v>
      </c>
      <c r="B12" s="2329" t="s">
        <v>843</v>
      </c>
      <c r="C12" s="6" t="s">
        <v>853</v>
      </c>
      <c r="D12" s="6" t="b">
        <v>0</v>
      </c>
    </row>
    <row r="13">
      <c r="A13" s="2329" t="s">
        <v>816</v>
      </c>
      <c r="B13" s="2329" t="s">
        <v>843</v>
      </c>
      <c r="C13" s="6" t="s">
        <v>853</v>
      </c>
      <c r="D13" s="6" t="b">
        <v>0</v>
      </c>
    </row>
    <row r="14">
      <c r="A14" s="2329" t="s">
        <v>817</v>
      </c>
      <c r="B14" s="2329" t="s">
        <v>843</v>
      </c>
      <c r="C14" s="6" t="s">
        <v>853</v>
      </c>
      <c r="D14" s="6" t="b">
        <v>0</v>
      </c>
    </row>
    <row r="15">
      <c r="A15" s="2329" t="s">
        <v>818</v>
      </c>
      <c r="B15" s="2329" t="s">
        <v>843</v>
      </c>
      <c r="C15" s="6" t="s">
        <v>853</v>
      </c>
      <c r="D15" s="6" t="b">
        <v>0</v>
      </c>
    </row>
    <row r="16">
      <c r="A16" s="2329" t="s">
        <v>819</v>
      </c>
      <c r="B16" s="2329" t="s">
        <v>843</v>
      </c>
      <c r="C16" s="6" t="s">
        <v>853</v>
      </c>
      <c r="D16" s="6" t="b">
        <v>0</v>
      </c>
    </row>
    <row r="17">
      <c r="A17" s="2329" t="s">
        <v>820</v>
      </c>
      <c r="B17" s="2329" t="s">
        <v>843</v>
      </c>
      <c r="C17" s="6" t="s">
        <v>854</v>
      </c>
      <c r="D17" s="6" t="b">
        <v>0</v>
      </c>
      <c r="E17" s="6" t="s">
        <v>855</v>
      </c>
      <c r="F17" s="6" t="s">
        <v>856</v>
      </c>
      <c r="G17" s="6" t="s">
        <v>857</v>
      </c>
      <c r="H17" s="6" t="s">
        <v>858</v>
      </c>
      <c r="I17" s="6" t="s">
        <v>859</v>
      </c>
    </row>
    <row r="18">
      <c r="A18" s="2329" t="s">
        <v>821</v>
      </c>
      <c r="B18" s="2329" t="s">
        <v>843</v>
      </c>
      <c r="C18" s="6" t="s">
        <v>853</v>
      </c>
      <c r="D18" s="6" t="b">
        <v>0</v>
      </c>
    </row>
    <row r="19">
      <c r="A19" s="2329" t="s">
        <v>822</v>
      </c>
      <c r="B19" s="2329" t="s">
        <v>843</v>
      </c>
      <c r="C19" s="6" t="s">
        <v>853</v>
      </c>
      <c r="D19" s="6" t="b">
        <v>0</v>
      </c>
    </row>
    <row r="20">
      <c r="A20" s="2331"/>
      <c r="B20" s="2331"/>
    </row>
    <row r="21">
      <c r="A21" s="2331"/>
      <c r="B21" s="2331"/>
    </row>
    <row r="22">
      <c r="A22" s="2331"/>
      <c r="B22" s="2331"/>
    </row>
    <row r="23">
      <c r="A23" s="2331"/>
      <c r="B23" s="2331"/>
    </row>
    <row r="24">
      <c r="A24" s="2331"/>
      <c r="B24" s="2331"/>
    </row>
    <row r="25">
      <c r="A25" s="2331"/>
      <c r="B25" s="2331"/>
    </row>
    <row r="26">
      <c r="A26" s="2331"/>
      <c r="B26" s="2331"/>
    </row>
    <row r="27">
      <c r="A27" s="2331"/>
      <c r="B27" s="2331"/>
    </row>
    <row r="28">
      <c r="A28" s="2331"/>
      <c r="B28" s="2331"/>
    </row>
    <row r="29">
      <c r="A29" s="2331"/>
      <c r="B29" s="2331"/>
    </row>
    <row r="30">
      <c r="A30" s="2331"/>
      <c r="B30" s="2331"/>
    </row>
    <row r="31">
      <c r="A31" s="2331"/>
      <c r="B31" s="2331"/>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2" t="s">
        <v>860</v>
      </c>
      <c r="B2" s="2333"/>
      <c r="C2" s="2333"/>
      <c r="D2" s="2333"/>
      <c r="E2" s="2333"/>
      <c r="F2" s="2333"/>
      <c r="G2" s="2334"/>
      <c r="H2" s="2335" t="s">
        <v>861</v>
      </c>
      <c r="I2" s="2336"/>
      <c r="J2" s="2336"/>
      <c r="K2" s="34"/>
      <c r="L2" s="34"/>
      <c r="M2" s="34"/>
      <c r="N2" s="34"/>
      <c r="O2" s="34"/>
      <c r="P2" s="34"/>
      <c r="Q2" s="34"/>
      <c r="R2" s="34"/>
      <c r="S2" s="34"/>
      <c r="T2" s="34"/>
    </row>
    <row r="3" ht="12.75" customHeight="1" outlineLevel="1">
      <c r="A3" s="2337" t="s">
        <v>69</v>
      </c>
      <c r="B3" s="2338" t="s">
        <v>862</v>
      </c>
      <c r="C3" s="2338" t="s">
        <v>178</v>
      </c>
      <c r="D3" s="2339" t="s">
        <v>863</v>
      </c>
      <c r="E3" s="2340" t="s">
        <v>75</v>
      </c>
      <c r="F3" s="2341" t="s">
        <v>864</v>
      </c>
      <c r="G3" s="2342" t="s">
        <v>865</v>
      </c>
      <c r="H3" s="2343" t="s">
        <v>866</v>
      </c>
      <c r="I3" s="2344" t="s">
        <v>867</v>
      </c>
      <c r="J3" s="2345" t="s">
        <v>868</v>
      </c>
      <c r="K3" s="2343" t="s">
        <v>869</v>
      </c>
      <c r="L3" s="2346" t="s">
        <v>870</v>
      </c>
      <c r="M3" s="2347" t="s">
        <v>871</v>
      </c>
      <c r="N3" s="2348" t="s">
        <v>872</v>
      </c>
      <c r="O3" s="34"/>
      <c r="P3" s="2349"/>
      <c r="Q3" s="2349"/>
      <c r="R3" s="2349"/>
      <c r="S3" s="2349"/>
      <c r="T3" s="34"/>
      <c r="U3" s="34"/>
      <c r="V3" s="34"/>
      <c r="W3" s="34"/>
      <c r="X3" s="34"/>
      <c r="Y3" s="34"/>
      <c r="Z3" s="34"/>
      <c r="AA3" s="34"/>
    </row>
    <row r="4" ht="12.75" customHeight="1" outlineLevel="1">
      <c r="A4" s="2350"/>
      <c r="B4" s="2351" t="s">
        <v>873</v>
      </c>
      <c r="C4" s="2352" t="str">
        <f>'OPI Terreno'!E8</f>
        <v/>
      </c>
      <c r="D4" s="2353"/>
      <c r="E4" s="2354" t="s">
        <v>874</v>
      </c>
      <c r="F4" s="2355"/>
      <c r="G4" s="2355"/>
      <c r="H4" s="2356">
        <v>365.0</v>
      </c>
      <c r="I4" s="2357"/>
      <c r="J4" s="2358">
        <v>3150000.0</v>
      </c>
      <c r="K4" s="2359">
        <f>J4/H4</f>
        <v>8630.136986</v>
      </c>
      <c r="L4" s="2355"/>
      <c r="M4" s="2360"/>
      <c r="N4" s="2361" t="s">
        <v>875</v>
      </c>
      <c r="O4" s="34"/>
      <c r="P4" s="93"/>
      <c r="Q4" s="93"/>
      <c r="R4" s="93"/>
      <c r="S4" s="93"/>
      <c r="T4" s="34"/>
      <c r="U4" s="34"/>
      <c r="V4" s="34"/>
      <c r="W4" s="34"/>
      <c r="X4" s="34"/>
      <c r="Y4" s="34"/>
      <c r="Z4" s="34"/>
      <c r="AA4" s="34"/>
    </row>
    <row r="5" ht="12.75" customHeight="1" outlineLevel="1">
      <c r="A5" s="2362"/>
      <c r="B5" s="2363" t="str">
        <f t="shared" ref="B5:B9" si="1">+B4</f>
        <v>VENTA</v>
      </c>
      <c r="C5" s="2364" t="str">
        <f t="shared" ref="C5:C8" si="2">C4</f>
        <v/>
      </c>
      <c r="D5" s="2365"/>
      <c r="E5" s="2366"/>
      <c r="F5" s="2367"/>
      <c r="G5" s="2367"/>
      <c r="H5" s="2368"/>
      <c r="I5" s="2369"/>
      <c r="J5" s="2370"/>
      <c r="K5" s="2371"/>
      <c r="L5" s="2367"/>
      <c r="M5" s="2372"/>
      <c r="N5" s="2373"/>
      <c r="O5" s="34"/>
      <c r="P5" s="93"/>
      <c r="Q5" s="93"/>
      <c r="R5" s="93"/>
      <c r="S5" s="93"/>
      <c r="T5" s="34"/>
      <c r="U5" s="34"/>
      <c r="V5" s="34"/>
      <c r="W5" s="34"/>
      <c r="X5" s="34"/>
      <c r="Y5" s="34"/>
      <c r="Z5" s="34"/>
      <c r="AA5" s="34"/>
    </row>
    <row r="6" ht="12.75" customHeight="1" outlineLevel="1">
      <c r="A6" s="2362"/>
      <c r="B6" s="2363" t="str">
        <f t="shared" si="1"/>
        <v>VENTA</v>
      </c>
      <c r="C6" s="2364" t="str">
        <f t="shared" si="2"/>
        <v/>
      </c>
      <c r="D6" s="2365"/>
      <c r="E6" s="2374" t="s">
        <v>876</v>
      </c>
      <c r="F6" s="2375"/>
      <c r="G6" s="2367"/>
      <c r="H6" s="2368">
        <v>200.0</v>
      </c>
      <c r="I6" s="2369"/>
      <c r="J6" s="2376">
        <v>2400000.0</v>
      </c>
      <c r="K6" s="2377">
        <f>J6/H6</f>
        <v>12000</v>
      </c>
      <c r="L6" s="2367"/>
      <c r="M6" s="2372"/>
      <c r="N6" s="2373" t="s">
        <v>877</v>
      </c>
      <c r="O6" s="34"/>
      <c r="P6" s="93"/>
      <c r="Q6" s="93"/>
      <c r="R6" s="93"/>
      <c r="S6" s="93"/>
      <c r="T6" s="34"/>
      <c r="U6" s="34"/>
      <c r="V6" s="34"/>
      <c r="W6" s="34"/>
      <c r="X6" s="34"/>
      <c r="Y6" s="34"/>
      <c r="Z6" s="34"/>
      <c r="AA6" s="34"/>
    </row>
    <row r="7" ht="12.75" customHeight="1" outlineLevel="1">
      <c r="A7" s="2378"/>
      <c r="B7" s="2379" t="str">
        <f t="shared" si="1"/>
        <v>VENTA</v>
      </c>
      <c r="C7" s="2364" t="str">
        <f t="shared" si="2"/>
        <v/>
      </c>
      <c r="D7" s="2365"/>
      <c r="E7" s="2375"/>
      <c r="F7" s="2375"/>
      <c r="G7" s="2375"/>
      <c r="H7" s="2380"/>
      <c r="I7" s="2369"/>
      <c r="J7" s="2370"/>
      <c r="K7" s="2377"/>
      <c r="L7" s="2367"/>
      <c r="M7" s="2372"/>
      <c r="N7" s="2381"/>
      <c r="O7" s="34"/>
      <c r="P7" s="93"/>
      <c r="Q7" s="93"/>
      <c r="R7" s="93"/>
      <c r="S7" s="93"/>
      <c r="T7" s="34"/>
      <c r="U7" s="34"/>
      <c r="V7" s="34"/>
      <c r="W7" s="34"/>
      <c r="X7" s="34"/>
      <c r="Y7" s="34"/>
      <c r="Z7" s="34"/>
      <c r="AA7" s="34"/>
    </row>
    <row r="8" ht="12.75" customHeight="1" outlineLevel="1">
      <c r="A8" s="2378"/>
      <c r="B8" s="2379" t="str">
        <f t="shared" si="1"/>
        <v>VENTA</v>
      </c>
      <c r="C8" s="2364" t="str">
        <f t="shared" si="2"/>
        <v/>
      </c>
      <c r="D8" s="2365"/>
      <c r="E8" s="2367"/>
      <c r="F8" s="2367"/>
      <c r="G8" s="2367"/>
      <c r="H8" s="2380"/>
      <c r="I8" s="2369"/>
      <c r="J8" s="2370"/>
      <c r="K8" s="2377"/>
      <c r="L8" s="2367"/>
      <c r="M8" s="2372"/>
      <c r="N8" s="2382"/>
      <c r="O8" s="34"/>
      <c r="P8" s="93"/>
      <c r="Q8" s="93"/>
      <c r="R8" s="93"/>
      <c r="S8" s="93"/>
      <c r="T8" s="34"/>
      <c r="U8" s="34"/>
      <c r="V8" s="34"/>
      <c r="W8" s="34"/>
      <c r="X8" s="34"/>
      <c r="Y8" s="34"/>
      <c r="Z8" s="34"/>
      <c r="AA8" s="34"/>
    </row>
    <row r="9" ht="12.75" customHeight="1" outlineLevel="1">
      <c r="A9" s="2383"/>
      <c r="B9" s="2379" t="str">
        <f t="shared" si="1"/>
        <v>VENTA</v>
      </c>
      <c r="C9" s="2384"/>
      <c r="D9" s="2384"/>
      <c r="E9" s="2385"/>
      <c r="F9" s="2385"/>
      <c r="G9" s="2386"/>
      <c r="H9" s="2387"/>
      <c r="I9" s="2387"/>
      <c r="J9" s="2388"/>
      <c r="K9" s="2389">
        <f>+AVERAGE(K4,K5,K6,K7,K8)</f>
        <v>10315.06849</v>
      </c>
      <c r="L9" s="2385"/>
      <c r="M9" s="2390"/>
      <c r="N9" s="2385"/>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91" t="s">
        <v>878</v>
      </c>
      <c r="B11" s="2392"/>
      <c r="C11" s="2392"/>
      <c r="D11" s="34"/>
      <c r="E11" s="34"/>
      <c r="F11" s="34"/>
      <c r="G11" s="34"/>
      <c r="H11" s="2393"/>
      <c r="I11" s="34"/>
      <c r="J11" s="2394"/>
      <c r="K11" s="2393"/>
      <c r="L11" s="2393"/>
      <c r="M11" s="2395"/>
      <c r="N11" s="2396"/>
      <c r="O11" s="34"/>
      <c r="P11" s="93"/>
      <c r="Q11" s="93"/>
      <c r="R11" s="93"/>
      <c r="S11" s="93"/>
      <c r="T11" s="34"/>
      <c r="U11" s="34"/>
      <c r="V11" s="34"/>
      <c r="W11" s="34"/>
      <c r="X11" s="34"/>
      <c r="Y11" s="34"/>
      <c r="Z11" s="34"/>
      <c r="AA11" s="34"/>
    </row>
    <row r="12" ht="12.75" customHeight="1" outlineLevel="1">
      <c r="A12" s="2397"/>
      <c r="B12" s="2397"/>
      <c r="C12" s="2397"/>
      <c r="D12" s="2398"/>
      <c r="E12" s="2399"/>
      <c r="F12" s="2400"/>
      <c r="G12" s="2401"/>
      <c r="H12" s="2402"/>
      <c r="I12" s="2402"/>
      <c r="J12" s="2403"/>
      <c r="K12" s="2403" t="str">
        <f t="shared" ref="K12:K16" si="3">J12/H12</f>
        <v>#DIV/0!</v>
      </c>
      <c r="L12" s="2401"/>
      <c r="M12" s="2372"/>
      <c r="N12" s="2404"/>
      <c r="O12" s="34"/>
      <c r="P12" s="93"/>
      <c r="Q12" s="93"/>
      <c r="R12" s="93"/>
      <c r="S12" s="93"/>
      <c r="T12" s="34"/>
      <c r="U12" s="34"/>
      <c r="V12" s="34"/>
      <c r="W12" s="34"/>
      <c r="X12" s="34"/>
      <c r="Y12" s="34"/>
      <c r="Z12" s="34"/>
      <c r="AA12" s="34"/>
    </row>
    <row r="13" ht="12.75" customHeight="1" outlineLevel="1">
      <c r="A13" s="2397"/>
      <c r="B13" s="2397"/>
      <c r="C13" s="2397"/>
      <c r="D13" s="2397"/>
      <c r="E13" s="2399"/>
      <c r="F13" s="2400"/>
      <c r="G13" s="2401"/>
      <c r="H13" s="2402"/>
      <c r="I13" s="2402"/>
      <c r="J13" s="2405"/>
      <c r="K13" s="2403" t="str">
        <f t="shared" si="3"/>
        <v>#DIV/0!</v>
      </c>
      <c r="L13" s="2401"/>
      <c r="M13" s="2372"/>
      <c r="N13" s="2382"/>
      <c r="O13" s="34"/>
      <c r="P13" s="93"/>
      <c r="Q13" s="93"/>
      <c r="R13" s="93"/>
      <c r="S13" s="93"/>
      <c r="T13" s="34"/>
      <c r="U13" s="34"/>
      <c r="V13" s="34"/>
      <c r="W13" s="34"/>
      <c r="X13" s="34"/>
      <c r="Y13" s="34"/>
      <c r="Z13" s="34"/>
      <c r="AA13" s="34"/>
    </row>
    <row r="14" ht="12.75" customHeight="1" outlineLevel="1">
      <c r="A14" s="2397"/>
      <c r="B14" s="2397"/>
      <c r="C14" s="2397"/>
      <c r="D14" s="2397"/>
      <c r="E14" s="2399"/>
      <c r="F14" s="2400"/>
      <c r="G14" s="2401"/>
      <c r="H14" s="2402"/>
      <c r="I14" s="2402"/>
      <c r="J14" s="2405"/>
      <c r="K14" s="2403" t="str">
        <f t="shared" si="3"/>
        <v>#DIV/0!</v>
      </c>
      <c r="L14" s="2401"/>
      <c r="M14" s="2372"/>
      <c r="N14" s="2381"/>
      <c r="O14" s="34"/>
      <c r="P14" s="93"/>
      <c r="Q14" s="93"/>
      <c r="R14" s="93"/>
      <c r="S14" s="93"/>
      <c r="T14" s="34"/>
      <c r="U14" s="34"/>
      <c r="V14" s="34"/>
      <c r="W14" s="34"/>
      <c r="X14" s="34"/>
      <c r="Y14" s="34"/>
      <c r="Z14" s="34"/>
      <c r="AA14" s="34"/>
    </row>
    <row r="15" ht="12.75" customHeight="1" outlineLevel="1">
      <c r="A15" s="2397"/>
      <c r="B15" s="2397"/>
      <c r="C15" s="2397"/>
      <c r="D15" s="2397"/>
      <c r="E15" s="2399"/>
      <c r="F15" s="2400"/>
      <c r="G15" s="2401"/>
      <c r="H15" s="2402"/>
      <c r="I15" s="2402"/>
      <c r="J15" s="2406"/>
      <c r="K15" s="2403" t="str">
        <f t="shared" si="3"/>
        <v>#DIV/0!</v>
      </c>
      <c r="L15" s="2401"/>
      <c r="M15" s="2372"/>
      <c r="N15" s="2381"/>
      <c r="O15" s="34"/>
      <c r="P15" s="93"/>
      <c r="Q15" s="93"/>
      <c r="R15" s="93"/>
      <c r="S15" s="93"/>
      <c r="T15" s="34"/>
      <c r="U15" s="34"/>
      <c r="V15" s="34"/>
      <c r="W15" s="34"/>
      <c r="X15" s="34"/>
      <c r="Y15" s="34"/>
      <c r="Z15" s="34"/>
      <c r="AA15" s="34"/>
    </row>
    <row r="16" ht="12.75" customHeight="1" outlineLevel="1">
      <c r="A16" s="2397"/>
      <c r="B16" s="2397"/>
      <c r="C16" s="2397"/>
      <c r="D16" s="2397"/>
      <c r="E16" s="2399"/>
      <c r="F16" s="2400"/>
      <c r="G16" s="2401"/>
      <c r="H16" s="2402"/>
      <c r="I16" s="2402"/>
      <c r="J16" s="2406"/>
      <c r="K16" s="2403" t="str">
        <f t="shared" si="3"/>
        <v>#DIV/0!</v>
      </c>
      <c r="L16" s="2401"/>
      <c r="M16" s="2372"/>
      <c r="N16" s="2404"/>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407" t="s">
        <v>879</v>
      </c>
      <c r="B18" s="2408"/>
      <c r="C18" s="2408"/>
      <c r="D18" s="2408"/>
      <c r="E18" s="2408"/>
      <c r="F18" s="2408"/>
      <c r="G18" s="2409"/>
      <c r="H18" s="2410" t="s">
        <v>880</v>
      </c>
      <c r="I18" s="2336"/>
      <c r="J18" s="2411"/>
      <c r="K18" s="34"/>
      <c r="L18" s="34"/>
      <c r="M18" s="2395"/>
      <c r="N18" s="34"/>
      <c r="O18" s="34"/>
      <c r="P18" s="93"/>
      <c r="Q18" s="93"/>
      <c r="R18" s="93"/>
      <c r="S18" s="93"/>
      <c r="T18" s="34"/>
      <c r="U18" s="34"/>
      <c r="V18" s="34"/>
      <c r="W18" s="34"/>
      <c r="X18" s="34"/>
      <c r="Y18" s="34"/>
      <c r="Z18" s="34"/>
      <c r="AA18" s="34"/>
    </row>
    <row r="19" ht="12.75" customHeight="1" outlineLevel="1">
      <c r="A19" s="2412" t="s">
        <v>69</v>
      </c>
      <c r="B19" s="2413" t="s">
        <v>862</v>
      </c>
      <c r="C19" s="2414" t="s">
        <v>178</v>
      </c>
      <c r="D19" s="2415" t="s">
        <v>863</v>
      </c>
      <c r="E19" s="2416" t="s">
        <v>75</v>
      </c>
      <c r="F19" s="2417" t="s">
        <v>864</v>
      </c>
      <c r="G19" s="2418" t="s">
        <v>865</v>
      </c>
      <c r="H19" s="2419" t="s">
        <v>866</v>
      </c>
      <c r="I19" s="2420" t="s">
        <v>867</v>
      </c>
      <c r="J19" s="2421" t="s">
        <v>868</v>
      </c>
      <c r="K19" s="2422" t="s">
        <v>129</v>
      </c>
      <c r="L19" s="2422" t="s">
        <v>881</v>
      </c>
      <c r="M19" s="2422" t="s">
        <v>882</v>
      </c>
      <c r="N19" s="2423" t="s">
        <v>883</v>
      </c>
      <c r="O19" s="2424" t="s">
        <v>884</v>
      </c>
      <c r="P19" s="2425" t="s">
        <v>885</v>
      </c>
      <c r="Q19" s="2426" t="s">
        <v>886</v>
      </c>
      <c r="R19" s="34"/>
      <c r="S19" s="34"/>
      <c r="T19" s="34"/>
    </row>
    <row r="20" ht="12.75" customHeight="1" outlineLevel="1">
      <c r="A20" s="2350"/>
      <c r="B20" s="2351" t="s">
        <v>873</v>
      </c>
      <c r="C20" s="2427" t="str">
        <f>+'OPI Constr'!$E$8</f>
        <v>Casa Habitación</v>
      </c>
      <c r="D20" s="2428" t="str">
        <f t="shared" ref="D20:J20" si="4">D30</f>
        <v/>
      </c>
      <c r="E20" s="2428" t="str">
        <f t="shared" si="4"/>
        <v>SAN ELIAS</v>
      </c>
      <c r="F20" s="2428" t="str">
        <f t="shared" si="4"/>
        <v>Avenida Fidel Velazquez 380</v>
      </c>
      <c r="G20" s="2428" t="str">
        <f t="shared" si="4"/>
        <v>1 Nivel 3 Recamaras con closet Cocina con alacenas estufas Área Sala-Comedor 1 Baño completo Patio amplio con Jardín</v>
      </c>
      <c r="H20" s="2428">
        <f t="shared" si="4"/>
        <v>117</v>
      </c>
      <c r="I20" s="2428">
        <f t="shared" si="4"/>
        <v>71</v>
      </c>
      <c r="J20" s="2429">
        <f t="shared" si="4"/>
        <v>2700000</v>
      </c>
      <c r="K20" s="2428">
        <f t="shared" ref="K20:K24" si="7">L30</f>
        <v>40</v>
      </c>
      <c r="L20" s="2430" t="s">
        <v>667</v>
      </c>
      <c r="M20" s="2431">
        <f>IF(L20&lt;&gt;"",VLOOKUP(K20,'Ross Heideke'!$A$6:$J$76,MATCH(L20,'Ross Heideke'!$B$5:$J$5,0),FALSE),"")</f>
        <v>0.5508440816</v>
      </c>
      <c r="N20" s="2432">
        <f>+IF(M20&lt;&gt;"",'OPI Constr'!$N$115*$M20,"")</f>
        <v>7436.395102</v>
      </c>
      <c r="O20" s="2429">
        <f t="shared" ref="O20:O24" si="8">+IF(N20&lt;&gt;"",N20*I20,"")</f>
        <v>527984.0522</v>
      </c>
      <c r="P20" s="2429">
        <f t="shared" ref="P20:P24" si="9">+IF(O20&lt;&gt;"",J20-O20,"")</f>
        <v>2172015.948</v>
      </c>
      <c r="Q20" s="2429">
        <f t="shared" ref="Q20:Q24" si="10">+IF(P20&lt;&gt;"",P20/H20,"")</f>
        <v>18564.23887</v>
      </c>
      <c r="R20" s="93"/>
      <c r="S20" s="93"/>
      <c r="T20" s="34"/>
    </row>
    <row r="21" ht="12.75" customHeight="1" outlineLevel="1">
      <c r="A21" s="2362"/>
      <c r="B21" s="2363" t="str">
        <f t="shared" ref="B21:C21" si="5">+B20</f>
        <v>VENTA</v>
      </c>
      <c r="C21" s="2427" t="str">
        <f t="shared" si="5"/>
        <v>Casa Habitación</v>
      </c>
      <c r="D21" s="2428" t="str">
        <f t="shared" ref="D21:J21" si="6">D31</f>
        <v/>
      </c>
      <c r="E21" s="2428" t="str">
        <f t="shared" si="6"/>
        <v>INDEPENDENCIA</v>
      </c>
      <c r="F21" s="2428" t="str">
        <f t="shared" si="6"/>
        <v>Platón S/N</v>
      </c>
      <c r="G21" s="2428" t="str">
        <f t="shared" si="6"/>
        <v>3 Recámaras 2 1/2 Baños 3 Cocheras Terraza al ingreso de la casa 1 Área de lavado Local comercial al frente de 35.00 mts con medio baño.</v>
      </c>
      <c r="H21" s="2428">
        <f t="shared" si="6"/>
        <v>276</v>
      </c>
      <c r="I21" s="2428">
        <f t="shared" si="6"/>
        <v>193</v>
      </c>
      <c r="J21" s="2429">
        <f t="shared" si="6"/>
        <v>6600000</v>
      </c>
      <c r="K21" s="2428">
        <f t="shared" si="7"/>
        <v>30</v>
      </c>
      <c r="L21" s="2430" t="s">
        <v>667</v>
      </c>
      <c r="M21" s="2433">
        <f>IF(L21&lt;&gt;"",VLOOKUP(K21,'Ross Heideke'!$A$6:$J$76,MATCH(L21,'Ross Heideke'!$B$5:$J$5,0),FALSE),"")</f>
        <v>0.6936555102</v>
      </c>
      <c r="N21" s="2432">
        <f>+IF(M21&lt;&gt;"",'OPI Constr'!$N$115*$M21,"")</f>
        <v>9364.349388</v>
      </c>
      <c r="O21" s="2429">
        <f t="shared" si="8"/>
        <v>1807319.432</v>
      </c>
      <c r="P21" s="2429">
        <f t="shared" si="9"/>
        <v>4792680.568</v>
      </c>
      <c r="Q21" s="2429">
        <f t="shared" si="10"/>
        <v>17364.78467</v>
      </c>
      <c r="R21" s="34"/>
      <c r="S21" s="34"/>
      <c r="T21" s="34"/>
      <c r="Z21" s="10">
        <f>+(L30-20)/20</f>
        <v>1</v>
      </c>
    </row>
    <row r="22" ht="12.75" customHeight="1" outlineLevel="1">
      <c r="A22" s="2362"/>
      <c r="B22" s="2363" t="str">
        <f t="shared" ref="B22:C22" si="11">+B21</f>
        <v>VENTA</v>
      </c>
      <c r="C22" s="2427" t="str">
        <f t="shared" si="11"/>
        <v>Casa Habitación</v>
      </c>
      <c r="D22" s="2428" t="str">
        <f t="shared" ref="D22:J22" si="12">D32</f>
        <v/>
      </c>
      <c r="E22" s="2428" t="str">
        <f t="shared" si="12"/>
        <v>Monumental</v>
      </c>
      <c r="F22" s="2428" t="str">
        <f t="shared" si="12"/>
        <v>Monumental S/N</v>
      </c>
      <c r="G22" s="2428" t="str">
        <f t="shared" si="12"/>
        <v>Cochera un auto, jardín exterior, sala comedor, cocina, patio de servicio, pasillo distribuidor, dos recámara secundarias cada una con su clóset que comparten un baño completo y otra principal con baño completo, jardín interior.</v>
      </c>
      <c r="H22" s="2428">
        <f t="shared" si="12"/>
        <v>140</v>
      </c>
      <c r="I22" s="2428">
        <f t="shared" si="12"/>
        <v>103</v>
      </c>
      <c r="J22" s="2429">
        <f t="shared" si="12"/>
        <v>3790000</v>
      </c>
      <c r="K22" s="2428">
        <f t="shared" si="7"/>
        <v>6</v>
      </c>
      <c r="L22" s="2430" t="s">
        <v>667</v>
      </c>
      <c r="M22" s="2433">
        <f>IF(L22&lt;&gt;"",VLOOKUP(K22,'Ross Heideke'!$A$6:$J$76,MATCH(L22,'Ross Heideke'!$B$5:$J$5,0),FALSE),"")</f>
        <v>0.9531642776</v>
      </c>
      <c r="N22" s="2432">
        <f>+IF(M22&lt;&gt;"",'OPI Constr'!$N$115*$M22,"")</f>
        <v>12867.71775</v>
      </c>
      <c r="O22" s="2429">
        <f t="shared" si="8"/>
        <v>1325374.928</v>
      </c>
      <c r="P22" s="2429">
        <f t="shared" si="9"/>
        <v>2464625.072</v>
      </c>
      <c r="Q22" s="2429">
        <f t="shared" si="10"/>
        <v>17604.4648</v>
      </c>
      <c r="R22" s="93"/>
      <c r="S22" s="93"/>
      <c r="T22" s="34"/>
    </row>
    <row r="23" ht="12.75" customHeight="1" outlineLevel="1">
      <c r="A23" s="2378"/>
      <c r="B23" s="2379" t="str">
        <f t="shared" ref="B23:C23" si="13">+B22</f>
        <v>VENTA</v>
      </c>
      <c r="C23" s="2427" t="str">
        <f t="shared" si="13"/>
        <v>Casa Habitación</v>
      </c>
      <c r="D23" s="2428" t="str">
        <f t="shared" ref="D23:J23" si="14">D33</f>
        <v/>
      </c>
      <c r="E23" s="2428" t="str">
        <f t="shared" si="14"/>
        <v>Alcalde Barranquitas</v>
      </c>
      <c r="F23" s="2428" t="str">
        <f t="shared" si="14"/>
        <v>Avenida de los Maestros 576</v>
      </c>
      <c r="G23" s="2428" t="str">
        <f t="shared" si="14"/>
        <v>4 recámaras, 2 baños uso de suelo mixto, comercial y habitacional, cuarto de servicio con baño, área de lavandería</v>
      </c>
      <c r="H23" s="2428">
        <f t="shared" si="14"/>
        <v>314</v>
      </c>
      <c r="I23" s="2428">
        <f t="shared" si="14"/>
        <v>201</v>
      </c>
      <c r="J23" s="2429">
        <f t="shared" si="14"/>
        <v>7500000</v>
      </c>
      <c r="K23" s="2428">
        <f t="shared" si="7"/>
        <v>40</v>
      </c>
      <c r="L23" s="2430" t="s">
        <v>667</v>
      </c>
      <c r="M23" s="2433">
        <f>IF(L23&lt;&gt;"",VLOOKUP(K23,'Ross Heideke'!$A$6:$J$76,MATCH(L23,'Ross Heideke'!$B$5:$J$5,0),FALSE),"")</f>
        <v>0.5508440816</v>
      </c>
      <c r="N23" s="2432">
        <f>+IF(M23&lt;&gt;"",'OPI Constr'!$N$115*$M23,"")</f>
        <v>7436.395102</v>
      </c>
      <c r="O23" s="2429">
        <f t="shared" si="8"/>
        <v>1494715.416</v>
      </c>
      <c r="P23" s="2429">
        <f t="shared" si="9"/>
        <v>6005284.584</v>
      </c>
      <c r="Q23" s="2429">
        <f t="shared" si="10"/>
        <v>19125.11014</v>
      </c>
      <c r="R23" s="34"/>
      <c r="S23" s="34"/>
      <c r="T23" s="34"/>
    </row>
    <row r="24" ht="12.75" customHeight="1" outlineLevel="1">
      <c r="A24" s="2378"/>
      <c r="B24" s="2379" t="str">
        <f t="shared" ref="B24:C24" si="15">+B23</f>
        <v>VENTA</v>
      </c>
      <c r="C24" s="2427" t="str">
        <f t="shared" si="15"/>
        <v>Casa Habitación</v>
      </c>
      <c r="D24" s="2428" t="str">
        <f t="shared" ref="D24:J24" si="16">D34</f>
        <v/>
      </c>
      <c r="E24" s="2428" t="str">
        <f t="shared" si="16"/>
        <v>Independencia Oriente</v>
      </c>
      <c r="F24" s="2428" t="str">
        <f t="shared" si="16"/>
        <v> Los Alpes 1548</v>
      </c>
      <c r="G24" s="2428" t="str">
        <f t="shared" si="16"/>
        <v>Sala y comedor Cocina integral 5 recámaras, 2 baños completos, Jardín lateral, espacio para 1 auto</v>
      </c>
      <c r="H24" s="2428">
        <f t="shared" si="16"/>
        <v>175</v>
      </c>
      <c r="I24" s="2428">
        <f t="shared" si="16"/>
        <v>158</v>
      </c>
      <c r="J24" s="2429">
        <f t="shared" si="16"/>
        <v>4200000</v>
      </c>
      <c r="K24" s="2428">
        <f t="shared" si="7"/>
        <v>40</v>
      </c>
      <c r="L24" s="2430" t="s">
        <v>667</v>
      </c>
      <c r="M24" s="2433">
        <f>IF(L24&lt;&gt;"",VLOOKUP(K24,'Ross Heideke'!$A$6:$J$76,MATCH(L24,'Ross Heideke'!$B$5:$J$5,0),FALSE),"")</f>
        <v>0.5508440816</v>
      </c>
      <c r="N24" s="2432">
        <f>+IF(M24&lt;&gt;"",'OPI Constr'!$N$115*$M24,"")</f>
        <v>7436.395102</v>
      </c>
      <c r="O24" s="2429">
        <f t="shared" si="8"/>
        <v>1174950.426</v>
      </c>
      <c r="P24" s="2429">
        <f t="shared" si="9"/>
        <v>3025049.574</v>
      </c>
      <c r="Q24" s="2429">
        <f t="shared" si="10"/>
        <v>17285.99757</v>
      </c>
      <c r="R24" s="93"/>
      <c r="S24" s="93"/>
      <c r="T24" s="34"/>
    </row>
    <row r="25" ht="12.75" customHeight="1" outlineLevel="1">
      <c r="A25" s="2383"/>
      <c r="B25" s="2379" t="str">
        <f t="shared" ref="B25:C25" si="17">+B24</f>
        <v>VENTA</v>
      </c>
      <c r="C25" s="2427" t="str">
        <f t="shared" si="17"/>
        <v>Casa Habitación</v>
      </c>
      <c r="D25" s="2434"/>
      <c r="E25" s="2434"/>
      <c r="F25" s="2435"/>
      <c r="G25" s="2436"/>
      <c r="H25" s="2437"/>
      <c r="I25" s="2437"/>
      <c r="J25" s="2438"/>
      <c r="K25" s="2438"/>
      <c r="L25" s="2439"/>
      <c r="M25" s="2439"/>
      <c r="N25" s="2440"/>
      <c r="O25" s="2441"/>
      <c r="P25" s="2442"/>
      <c r="Q25" s="2443">
        <f>+AVERAGE(Q20:Q24)</f>
        <v>17988.91921</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44" t="s">
        <v>887</v>
      </c>
      <c r="B28" s="467"/>
      <c r="C28" s="467"/>
      <c r="D28" s="467"/>
      <c r="E28" s="467"/>
      <c r="F28" s="467"/>
      <c r="G28" s="695"/>
      <c r="H28" s="2335" t="s">
        <v>888</v>
      </c>
      <c r="I28" s="2336"/>
      <c r="J28" s="2336"/>
      <c r="R28" s="741"/>
      <c r="S28" s="44"/>
      <c r="T28" s="44"/>
      <c r="U28" s="44"/>
      <c r="V28" s="44"/>
      <c r="W28" s="34"/>
    </row>
    <row r="29" ht="12.75" customHeight="1" outlineLevel="1">
      <c r="A29" s="2337" t="s">
        <v>69</v>
      </c>
      <c r="B29" s="2338" t="s">
        <v>862</v>
      </c>
      <c r="C29" s="2338" t="s">
        <v>178</v>
      </c>
      <c r="D29" s="2339" t="s">
        <v>863</v>
      </c>
      <c r="E29" s="2340" t="s">
        <v>75</v>
      </c>
      <c r="F29" s="2341" t="s">
        <v>864</v>
      </c>
      <c r="G29" s="2342" t="s">
        <v>865</v>
      </c>
      <c r="H29" s="2343" t="s">
        <v>866</v>
      </c>
      <c r="I29" s="2344" t="s">
        <v>867</v>
      </c>
      <c r="J29" s="2345" t="s">
        <v>868</v>
      </c>
      <c r="K29" s="2343" t="s">
        <v>869</v>
      </c>
      <c r="L29" s="2348" t="s">
        <v>889</v>
      </c>
      <c r="M29" s="2346" t="s">
        <v>870</v>
      </c>
      <c r="N29" s="2347" t="s">
        <v>871</v>
      </c>
      <c r="O29" s="2348" t="s">
        <v>872</v>
      </c>
      <c r="P29" s="34"/>
      <c r="Q29" s="34"/>
      <c r="R29" s="741"/>
      <c r="S29" s="44"/>
      <c r="T29" s="44"/>
      <c r="U29" s="44"/>
      <c r="V29" s="44"/>
      <c r="W29" s="34"/>
      <c r="X29" s="34"/>
      <c r="Y29" s="34"/>
      <c r="Z29" s="34"/>
      <c r="AA29" s="34"/>
    </row>
    <row r="30" ht="12.75" customHeight="1" outlineLevel="1">
      <c r="A30" s="2350"/>
      <c r="B30" s="2351" t="s">
        <v>873</v>
      </c>
      <c r="C30" s="2445" t="str">
        <f>+'OPI Constr'!$E$8</f>
        <v>Casa Habitación</v>
      </c>
      <c r="D30" s="2446"/>
      <c r="E30" s="2447" t="s">
        <v>890</v>
      </c>
      <c r="F30" s="2448" t="s">
        <v>891</v>
      </c>
      <c r="G30" s="2449" t="s">
        <v>892</v>
      </c>
      <c r="H30" s="2450">
        <v>117.0</v>
      </c>
      <c r="I30" s="2451">
        <v>71.0</v>
      </c>
      <c r="J30" s="2452">
        <v>2700000.0</v>
      </c>
      <c r="K30" s="2453">
        <f t="shared" ref="K30:K34" si="19">J30/I30</f>
        <v>38028.16901</v>
      </c>
      <c r="L30" s="2454">
        <v>40.0</v>
      </c>
      <c r="M30" s="2449" t="s">
        <v>893</v>
      </c>
      <c r="N30" s="2455" t="s">
        <v>894</v>
      </c>
      <c r="O30" s="2456" t="s">
        <v>895</v>
      </c>
      <c r="Q30" s="34"/>
      <c r="R30" s="741"/>
      <c r="S30" s="34"/>
      <c r="T30" s="34"/>
      <c r="U30" s="34"/>
      <c r="V30" s="34"/>
      <c r="W30" s="34"/>
      <c r="X30" s="34"/>
    </row>
    <row r="31" ht="12.75" customHeight="1" outlineLevel="1">
      <c r="A31" s="2362"/>
      <c r="B31" s="2363" t="str">
        <f t="shared" ref="B31:C31" si="18">+B30</f>
        <v>VENTA</v>
      </c>
      <c r="C31" s="2457" t="str">
        <f t="shared" si="18"/>
        <v>Casa Habitación</v>
      </c>
      <c r="D31" s="2458"/>
      <c r="E31" s="2459" t="s">
        <v>896</v>
      </c>
      <c r="F31" s="2460" t="s">
        <v>897</v>
      </c>
      <c r="G31" s="2461" t="s">
        <v>898</v>
      </c>
      <c r="H31" s="2462">
        <v>276.0</v>
      </c>
      <c r="I31" s="2463">
        <v>193.0</v>
      </c>
      <c r="J31" s="2464">
        <v>6600000.0</v>
      </c>
      <c r="K31" s="2465">
        <f t="shared" si="19"/>
        <v>34196.89119</v>
      </c>
      <c r="L31" s="2466">
        <v>30.0</v>
      </c>
      <c r="M31" s="2459" t="s">
        <v>899</v>
      </c>
      <c r="N31" s="2467" t="s">
        <v>900</v>
      </c>
      <c r="O31" s="2468" t="s">
        <v>901</v>
      </c>
      <c r="Q31" s="34"/>
      <c r="R31" s="741"/>
      <c r="S31" s="34"/>
      <c r="T31" s="34"/>
      <c r="U31" s="34"/>
      <c r="V31" s="34"/>
      <c r="W31" s="34"/>
      <c r="X31" s="34"/>
    </row>
    <row r="32" ht="12.75" customHeight="1" outlineLevel="1">
      <c r="A32" s="2362"/>
      <c r="B32" s="2363" t="str">
        <f t="shared" ref="B32:C32" si="20">+B31</f>
        <v>VENTA</v>
      </c>
      <c r="C32" s="2457" t="str">
        <f t="shared" si="20"/>
        <v>Casa Habitación</v>
      </c>
      <c r="D32" s="2458"/>
      <c r="E32" s="2459" t="s">
        <v>902</v>
      </c>
      <c r="F32" s="2460" t="s">
        <v>903</v>
      </c>
      <c r="G32" s="2469" t="s">
        <v>904</v>
      </c>
      <c r="H32" s="2463">
        <v>140.0</v>
      </c>
      <c r="I32" s="2463">
        <v>103.0</v>
      </c>
      <c r="J32" s="2464">
        <v>3790000.0</v>
      </c>
      <c r="K32" s="2465">
        <f t="shared" si="19"/>
        <v>36796.1165</v>
      </c>
      <c r="L32" s="2466">
        <v>6.0</v>
      </c>
      <c r="M32" s="2459" t="s">
        <v>905</v>
      </c>
      <c r="N32" s="2467">
        <v>5.66406864E9</v>
      </c>
      <c r="O32" s="2470" t="s">
        <v>906</v>
      </c>
      <c r="Q32" s="34"/>
      <c r="R32" s="741"/>
      <c r="S32" s="34"/>
      <c r="T32" s="34"/>
      <c r="U32" s="34"/>
      <c r="V32" s="34"/>
      <c r="W32" s="34"/>
      <c r="X32" s="34"/>
    </row>
    <row r="33" ht="12.75" customHeight="1" outlineLevel="1">
      <c r="A33" s="2378"/>
      <c r="B33" s="2379" t="str">
        <f t="shared" ref="B33:C33" si="21">+B32</f>
        <v>VENTA</v>
      </c>
      <c r="C33" s="2457" t="str">
        <f t="shared" si="21"/>
        <v>Casa Habitación</v>
      </c>
      <c r="D33" s="2458"/>
      <c r="E33" s="2459" t="s">
        <v>907</v>
      </c>
      <c r="F33" s="2471" t="s">
        <v>908</v>
      </c>
      <c r="G33" s="2472" t="s">
        <v>909</v>
      </c>
      <c r="H33" s="2463">
        <v>314.0</v>
      </c>
      <c r="I33" s="2463">
        <v>201.0</v>
      </c>
      <c r="J33" s="2464">
        <v>7500000.0</v>
      </c>
      <c r="K33" s="2465">
        <f t="shared" si="19"/>
        <v>37313.43284</v>
      </c>
      <c r="L33" s="2466">
        <v>40.0</v>
      </c>
      <c r="M33" s="2473" t="s">
        <v>910</v>
      </c>
      <c r="N33" s="2467">
        <v>5.51328953E9</v>
      </c>
      <c r="O33" s="2470" t="s">
        <v>911</v>
      </c>
      <c r="Q33" s="34"/>
      <c r="R33" s="741"/>
      <c r="S33" s="34"/>
      <c r="T33" s="34"/>
      <c r="U33" s="34"/>
      <c r="V33" s="34"/>
      <c r="W33" s="34"/>
      <c r="X33" s="34"/>
    </row>
    <row r="34" ht="12.75" customHeight="1" outlineLevel="1">
      <c r="A34" s="2378"/>
      <c r="B34" s="2379" t="str">
        <f t="shared" ref="B34:C34" si="22">+B33</f>
        <v>VENTA</v>
      </c>
      <c r="C34" s="2457" t="str">
        <f t="shared" si="22"/>
        <v>Casa Habitación</v>
      </c>
      <c r="D34" s="2458"/>
      <c r="E34" s="2459" t="s">
        <v>912</v>
      </c>
      <c r="F34" s="2471" t="s">
        <v>913</v>
      </c>
      <c r="G34" s="2469" t="s">
        <v>914</v>
      </c>
      <c r="H34" s="2474">
        <v>175.0</v>
      </c>
      <c r="I34" s="2475">
        <v>158.0</v>
      </c>
      <c r="J34" s="2464">
        <v>4200000.0</v>
      </c>
      <c r="K34" s="2465">
        <f t="shared" si="19"/>
        <v>26582.27848</v>
      </c>
      <c r="L34" s="2466">
        <v>40.0</v>
      </c>
      <c r="M34" s="2459" t="s">
        <v>915</v>
      </c>
      <c r="N34" s="2467" t="s">
        <v>916</v>
      </c>
      <c r="O34" s="2470" t="s">
        <v>917</v>
      </c>
      <c r="Q34" s="34"/>
      <c r="R34" s="741"/>
      <c r="S34" s="34"/>
      <c r="T34" s="34"/>
      <c r="U34" s="34"/>
      <c r="V34" s="34"/>
      <c r="W34" s="34"/>
      <c r="X34" s="34"/>
    </row>
    <row r="35" ht="12.75" customHeight="1" outlineLevel="1">
      <c r="A35" s="2383"/>
      <c r="B35" s="2379" t="str">
        <f t="shared" ref="B35:C35" si="23">+B34</f>
        <v>VENTA</v>
      </c>
      <c r="C35" s="2427" t="str">
        <f t="shared" si="23"/>
        <v>Casa Habitación</v>
      </c>
      <c r="D35" s="2434"/>
      <c r="E35" s="2434"/>
      <c r="F35" s="2435"/>
      <c r="G35" s="2436"/>
      <c r="H35" s="2437"/>
      <c r="I35" s="2437"/>
      <c r="J35" s="2438"/>
      <c r="K35" s="2441">
        <f>+AVERAGE(K30,K31,K32,K33,K34)</f>
        <v>34583.37761</v>
      </c>
      <c r="L35" s="2441"/>
      <c r="M35" s="2435"/>
      <c r="N35" s="2390"/>
      <c r="O35" s="2385"/>
      <c r="Q35" s="34"/>
      <c r="R35" s="741"/>
      <c r="S35" s="34"/>
      <c r="T35" s="34"/>
      <c r="U35" s="34"/>
      <c r="V35" s="34"/>
      <c r="W35" s="34"/>
      <c r="X35" s="34"/>
    </row>
    <row r="36" ht="12.75" customHeight="1" outlineLevel="1">
      <c r="A36" s="2476"/>
      <c r="B36" s="44"/>
      <c r="C36" s="44"/>
      <c r="D36" s="44"/>
      <c r="E36" s="44"/>
      <c r="F36" s="93"/>
      <c r="G36" s="44"/>
      <c r="H36" s="34"/>
      <c r="I36" s="34"/>
      <c r="J36" s="34"/>
      <c r="K36" s="34"/>
      <c r="L36" s="34"/>
      <c r="M36" s="2477"/>
      <c r="N36" s="2396"/>
      <c r="O36" s="2395"/>
      <c r="P36" s="2478"/>
      <c r="Q36" s="34"/>
      <c r="R36" s="741"/>
      <c r="S36" s="34"/>
      <c r="T36" s="34"/>
      <c r="U36" s="34"/>
      <c r="V36" s="34"/>
      <c r="W36" s="34"/>
      <c r="X36" s="34"/>
      <c r="Y36" s="34"/>
      <c r="Z36" s="34"/>
      <c r="AA36" s="34"/>
    </row>
    <row r="37" ht="19.5" customHeight="1" outlineLevel="1">
      <c r="A37" s="2391" t="s">
        <v>918</v>
      </c>
      <c r="B37" s="2479"/>
      <c r="C37" s="2479"/>
      <c r="D37" s="44"/>
      <c r="E37" s="44"/>
      <c r="F37" s="93"/>
      <c r="G37" s="44"/>
      <c r="H37" s="34"/>
      <c r="I37" s="34"/>
      <c r="J37" s="34"/>
      <c r="K37" s="34"/>
      <c r="L37" s="34"/>
      <c r="M37" s="2477"/>
      <c r="N37" s="2396"/>
      <c r="O37" s="2395"/>
      <c r="P37" s="2478"/>
      <c r="Q37" s="34"/>
      <c r="R37" s="741"/>
      <c r="S37" s="34"/>
      <c r="T37" s="34"/>
      <c r="U37" s="34"/>
      <c r="V37" s="34"/>
      <c r="W37" s="34"/>
      <c r="X37" s="34"/>
    </row>
    <row r="38" ht="12.75" customHeight="1" outlineLevel="1">
      <c r="A38" s="2480"/>
      <c r="B38" s="2480"/>
      <c r="C38" s="2480"/>
      <c r="D38" s="2480"/>
      <c r="E38" s="2480"/>
      <c r="F38" s="2480"/>
      <c r="G38" s="2480"/>
      <c r="H38" s="2481">
        <v>200.0</v>
      </c>
      <c r="I38" s="2463">
        <v>198.0</v>
      </c>
      <c r="J38" s="2464">
        <v>4100000.0</v>
      </c>
      <c r="K38" s="2465">
        <f t="shared" ref="K38:K39" si="24">J38/I38</f>
        <v>20707.07071</v>
      </c>
      <c r="L38" s="2466">
        <v>40.0</v>
      </c>
      <c r="M38" s="2482"/>
      <c r="N38" s="2483"/>
      <c r="O38" s="2468" t="s">
        <v>919</v>
      </c>
      <c r="P38" s="2478"/>
      <c r="Q38" s="34"/>
      <c r="R38" s="741"/>
      <c r="S38" s="34"/>
      <c r="T38" s="34"/>
      <c r="U38" s="34"/>
      <c r="V38" s="34"/>
      <c r="W38" s="34"/>
      <c r="X38" s="34"/>
    </row>
    <row r="39" ht="18.0" customHeight="1" outlineLevel="1">
      <c r="A39" s="2480"/>
      <c r="B39" s="2480"/>
      <c r="C39" s="2480"/>
      <c r="D39" s="2480"/>
      <c r="E39" s="2480"/>
      <c r="F39" s="2480"/>
      <c r="G39" s="2480"/>
      <c r="H39" s="2463">
        <v>120.0</v>
      </c>
      <c r="I39" s="2463">
        <v>140.0</v>
      </c>
      <c r="J39" s="2464">
        <v>3250000.0</v>
      </c>
      <c r="K39" s="2465">
        <f t="shared" si="24"/>
        <v>23214.28571</v>
      </c>
      <c r="L39" s="2466">
        <v>30.0</v>
      </c>
      <c r="M39" s="2482"/>
      <c r="N39" s="2483"/>
      <c r="O39" s="2484" t="s">
        <v>920</v>
      </c>
      <c r="P39" s="2478"/>
      <c r="Q39" s="34"/>
      <c r="R39" s="741"/>
      <c r="S39" s="34"/>
      <c r="T39" s="34"/>
      <c r="U39" s="34"/>
      <c r="V39" s="34"/>
      <c r="W39" s="34"/>
      <c r="X39" s="34"/>
      <c r="AA39" s="2485"/>
    </row>
    <row r="40" ht="18.0" customHeight="1" outlineLevel="1">
      <c r="A40" s="2397"/>
      <c r="B40" s="2397"/>
      <c r="C40" s="2397"/>
      <c r="D40" s="2397"/>
      <c r="E40" s="2397"/>
      <c r="F40" s="2397"/>
      <c r="G40" s="2397"/>
      <c r="H40" s="2474"/>
      <c r="I40" s="2475"/>
      <c r="J40" s="2475"/>
      <c r="K40" s="2465"/>
      <c r="L40" s="2474"/>
      <c r="M40" s="2486"/>
      <c r="N40" s="2483"/>
      <c r="O40" s="2468"/>
      <c r="P40" s="2478"/>
      <c r="Q40" s="34"/>
      <c r="R40" s="741"/>
      <c r="S40" s="34"/>
      <c r="T40" s="34"/>
      <c r="U40" s="34"/>
      <c r="V40" s="34"/>
      <c r="W40" s="34"/>
      <c r="X40" s="34"/>
      <c r="AA40" s="2485"/>
    </row>
    <row r="41" ht="18.0" customHeight="1" outlineLevel="1">
      <c r="A41" s="2480"/>
      <c r="B41" s="2480"/>
      <c r="C41" s="2480"/>
      <c r="D41" s="2480"/>
      <c r="E41" s="2480"/>
      <c r="F41" s="2480"/>
      <c r="G41" s="2480"/>
      <c r="H41" s="2480"/>
      <c r="I41" s="2480"/>
      <c r="J41" s="2487"/>
      <c r="K41" s="2465" t="str">
        <f t="shared" ref="K41:K42" si="25">J41/I41</f>
        <v>#DIV/0!</v>
      </c>
      <c r="L41" s="2480"/>
      <c r="M41" s="2488"/>
      <c r="N41" s="2483"/>
      <c r="O41" s="2489"/>
      <c r="P41" s="2478"/>
      <c r="Q41" s="34"/>
      <c r="R41" s="741"/>
      <c r="S41" s="34"/>
      <c r="T41" s="34"/>
      <c r="U41" s="34"/>
      <c r="V41" s="34"/>
      <c r="W41" s="34"/>
      <c r="X41" s="34"/>
      <c r="AA41" s="2485"/>
    </row>
    <row r="42" ht="18.0" customHeight="1" outlineLevel="1">
      <c r="A42" s="2487"/>
      <c r="B42" s="2487"/>
      <c r="C42" s="2487"/>
      <c r="D42" s="2487"/>
      <c r="E42" s="2487"/>
      <c r="F42" s="2487"/>
      <c r="G42" s="2487"/>
      <c r="H42" s="2487"/>
      <c r="I42" s="2480"/>
      <c r="J42" s="2490"/>
      <c r="K42" s="2465" t="str">
        <f t="shared" si="25"/>
        <v>#DIV/0!</v>
      </c>
      <c r="L42" s="2480"/>
      <c r="M42" s="2488"/>
      <c r="N42" s="2483"/>
      <c r="O42" s="2491"/>
      <c r="P42" s="2478"/>
      <c r="Q42" s="34"/>
      <c r="R42" s="741"/>
      <c r="S42" s="34"/>
      <c r="T42" s="34"/>
      <c r="U42" s="34"/>
      <c r="V42" s="34"/>
      <c r="W42" s="34"/>
      <c r="X42" s="34"/>
      <c r="Y42" s="34"/>
      <c r="Z42" s="34"/>
      <c r="AA42" s="2485"/>
    </row>
    <row r="43" ht="18.0" customHeight="1" collapsed="1">
      <c r="A43" s="34"/>
      <c r="B43" s="34"/>
      <c r="C43" s="34"/>
      <c r="D43" s="34"/>
      <c r="E43" s="34"/>
      <c r="F43" s="305"/>
      <c r="G43" s="34"/>
      <c r="H43" s="2393"/>
      <c r="I43" s="2393"/>
      <c r="J43" s="2393"/>
      <c r="K43" s="2393"/>
      <c r="L43" s="2393"/>
      <c r="M43" s="2492"/>
      <c r="N43" s="2390"/>
      <c r="O43" s="2385"/>
      <c r="P43" s="2478"/>
      <c r="Q43" s="34"/>
      <c r="R43" s="741"/>
      <c r="S43" s="34"/>
      <c r="T43" s="34"/>
      <c r="U43" s="34"/>
      <c r="V43" s="34"/>
      <c r="W43" s="34"/>
      <c r="X43" s="34"/>
      <c r="AA43" s="2485"/>
    </row>
    <row r="44" ht="12.75" customHeight="1">
      <c r="A44" s="34"/>
      <c r="B44" s="34"/>
      <c r="C44" s="34"/>
      <c r="D44" s="34"/>
      <c r="E44" s="34"/>
      <c r="F44" s="305"/>
      <c r="G44" s="34"/>
      <c r="H44" s="2393"/>
      <c r="I44" s="2393"/>
      <c r="J44" s="2393"/>
      <c r="K44" s="2393"/>
      <c r="L44" s="2393"/>
      <c r="M44" s="2492"/>
      <c r="N44" s="2493"/>
      <c r="O44" s="2395"/>
      <c r="P44" s="2478"/>
      <c r="Q44" s="34"/>
      <c r="R44" s="741"/>
      <c r="S44" s="34"/>
      <c r="T44" s="34"/>
      <c r="U44" s="34"/>
      <c r="V44" s="34"/>
      <c r="W44" s="34"/>
      <c r="X44" s="34"/>
    </row>
    <row r="45" ht="12.75" customHeight="1">
      <c r="A45" s="2494" t="s">
        <v>921</v>
      </c>
      <c r="B45" s="2495"/>
      <c r="C45" s="2495"/>
      <c r="D45" s="2495"/>
      <c r="E45" s="2495"/>
      <c r="F45" s="2495"/>
      <c r="G45" s="2496"/>
      <c r="H45" s="2497" t="s">
        <v>922</v>
      </c>
      <c r="I45" s="2498"/>
      <c r="J45" s="2499"/>
      <c r="K45" s="2393"/>
      <c r="L45" s="2393"/>
      <c r="M45" s="2492"/>
      <c r="N45" s="2492"/>
      <c r="O45" s="2395"/>
      <c r="P45" s="2478"/>
      <c r="Q45" s="34"/>
      <c r="R45" s="741"/>
    </row>
    <row r="46" ht="12.75" customHeight="1" outlineLevel="1">
      <c r="A46" s="2500" t="s">
        <v>923</v>
      </c>
      <c r="B46" s="2501" t="s">
        <v>862</v>
      </c>
      <c r="C46" s="2501" t="s">
        <v>178</v>
      </c>
      <c r="D46" s="2502" t="s">
        <v>863</v>
      </c>
      <c r="E46" s="2503" t="s">
        <v>719</v>
      </c>
      <c r="F46" s="2504" t="s">
        <v>864</v>
      </c>
      <c r="G46" s="2505" t="s">
        <v>865</v>
      </c>
      <c r="H46" s="2505" t="s">
        <v>865</v>
      </c>
      <c r="I46" s="2506" t="s">
        <v>866</v>
      </c>
      <c r="J46" s="2507" t="s">
        <v>867</v>
      </c>
      <c r="K46" s="2508" t="s">
        <v>924</v>
      </c>
      <c r="L46" s="2509" t="s">
        <v>925</v>
      </c>
      <c r="M46" s="2510" t="s">
        <v>926</v>
      </c>
      <c r="N46" s="2511" t="s">
        <v>927</v>
      </c>
      <c r="O46" s="2348" t="s">
        <v>889</v>
      </c>
      <c r="P46" s="2346" t="s">
        <v>870</v>
      </c>
      <c r="Q46" s="2347" t="s">
        <v>871</v>
      </c>
      <c r="R46" s="2348" t="s">
        <v>872</v>
      </c>
    </row>
    <row r="47" ht="12.75" customHeight="1" outlineLevel="1">
      <c r="A47" s="2512"/>
      <c r="B47" s="2513" t="s">
        <v>924</v>
      </c>
      <c r="C47" s="2514" t="str">
        <f>+C30</f>
        <v>Casa Habitación</v>
      </c>
      <c r="D47" s="2515"/>
      <c r="E47" s="2515"/>
      <c r="F47" s="2515"/>
      <c r="G47" s="2516"/>
      <c r="H47" s="2517"/>
      <c r="I47" s="2518"/>
      <c r="J47" s="2519"/>
      <c r="K47" s="2520"/>
      <c r="L47" s="2521" t="str">
        <f t="shared" ref="L47:L51" si="27">+K47/J47</f>
        <v>#DIV/0!</v>
      </c>
      <c r="M47" s="2522" t="str">
        <f>+L47*'OPI Constr'!$K$123</f>
        <v>#DIV/0!</v>
      </c>
      <c r="N47" s="2523" t="str">
        <f t="shared" ref="N47:N51" si="28">+(L47*12-(L47*12*0.2839))/0.0661</f>
        <v>#DIV/0!</v>
      </c>
      <c r="O47" s="2454"/>
      <c r="P47" s="2524"/>
      <c r="Q47" s="2525"/>
      <c r="R47" s="2526"/>
      <c r="S47" s="2395"/>
      <c r="T47" s="34"/>
      <c r="U47" s="34"/>
      <c r="V47" s="2527"/>
      <c r="W47" s="34"/>
      <c r="X47" s="741"/>
    </row>
    <row r="48" ht="12.75" customHeight="1" outlineLevel="1">
      <c r="A48" s="2528"/>
      <c r="B48" s="2529" t="str">
        <f t="shared" ref="B48:C48" si="26">+B47</f>
        <v>RENTA</v>
      </c>
      <c r="C48" s="2530" t="str">
        <f t="shared" si="26"/>
        <v>Casa Habitación</v>
      </c>
      <c r="D48" s="2397"/>
      <c r="E48" s="2480"/>
      <c r="F48" s="2480"/>
      <c r="G48" s="2531"/>
      <c r="H48" s="2517"/>
      <c r="I48" s="2474"/>
      <c r="J48" s="2474"/>
      <c r="K48" s="2532"/>
      <c r="L48" s="2533" t="str">
        <f t="shared" si="27"/>
        <v>#DIV/0!</v>
      </c>
      <c r="M48" s="2522" t="str">
        <f>+L48*'OPI Constr'!$K$123</f>
        <v>#DIV/0!</v>
      </c>
      <c r="N48" s="2534" t="str">
        <f t="shared" si="28"/>
        <v>#DIV/0!</v>
      </c>
      <c r="O48" s="2466"/>
      <c r="P48" s="2482"/>
      <c r="Q48" s="2483"/>
      <c r="R48" s="2535"/>
      <c r="S48" s="2395"/>
      <c r="T48" s="34"/>
      <c r="U48" s="2493"/>
      <c r="V48" s="34"/>
      <c r="W48" s="34"/>
      <c r="X48" s="741"/>
    </row>
    <row r="49" ht="12.75" customHeight="1" outlineLevel="1">
      <c r="A49" s="2528"/>
      <c r="B49" s="2529" t="str">
        <f t="shared" ref="B49:C49" si="29">+B48</f>
        <v>RENTA</v>
      </c>
      <c r="C49" s="2530" t="str">
        <f t="shared" si="29"/>
        <v>Casa Habitación</v>
      </c>
      <c r="D49" s="2397"/>
      <c r="E49" s="2480"/>
      <c r="F49" s="2480"/>
      <c r="G49" s="2536"/>
      <c r="H49" s="2517"/>
      <c r="I49" s="2474"/>
      <c r="J49" s="2474"/>
      <c r="K49" s="2537"/>
      <c r="L49" s="2533" t="str">
        <f t="shared" si="27"/>
        <v>#DIV/0!</v>
      </c>
      <c r="M49" s="2522" t="str">
        <f>+L49*'OPI Constr'!$K$123</f>
        <v>#DIV/0!</v>
      </c>
      <c r="N49" s="2534" t="str">
        <f t="shared" si="28"/>
        <v>#DIV/0!</v>
      </c>
      <c r="O49" s="2466"/>
      <c r="P49" s="2482"/>
      <c r="Q49" s="2483"/>
      <c r="R49" s="2535"/>
      <c r="S49" s="34"/>
      <c r="T49" s="34"/>
      <c r="U49" s="34"/>
      <c r="V49" s="34"/>
      <c r="W49" s="34"/>
      <c r="X49" s="34"/>
    </row>
    <row r="50" ht="12.75" customHeight="1" outlineLevel="1">
      <c r="A50" s="2512"/>
      <c r="B50" s="2538" t="str">
        <f t="shared" ref="B50:C50" si="30">+B49</f>
        <v>RENTA</v>
      </c>
      <c r="C50" s="2530" t="str">
        <f t="shared" si="30"/>
        <v>Casa Habitación</v>
      </c>
      <c r="D50" s="2397"/>
      <c r="E50" s="2397"/>
      <c r="F50" s="2397"/>
      <c r="G50" s="2536"/>
      <c r="H50" s="2517"/>
      <c r="I50" s="2539"/>
      <c r="J50" s="2474"/>
      <c r="K50" s="2532"/>
      <c r="L50" s="2533" t="str">
        <f t="shared" si="27"/>
        <v>#DIV/0!</v>
      </c>
      <c r="M50" s="2522" t="str">
        <f>+L50*'OPI Constr'!$K$123</f>
        <v>#DIV/0!</v>
      </c>
      <c r="N50" s="2534" t="str">
        <f t="shared" si="28"/>
        <v>#DIV/0!</v>
      </c>
      <c r="O50" s="2466"/>
      <c r="P50" s="2482"/>
      <c r="Q50" s="2483"/>
      <c r="R50" s="2489"/>
      <c r="S50" s="34"/>
      <c r="T50" s="34"/>
      <c r="U50" s="34"/>
      <c r="V50" s="34"/>
      <c r="W50" s="34"/>
      <c r="X50" s="34"/>
    </row>
    <row r="51" ht="12.75" customHeight="1" outlineLevel="1">
      <c r="A51" s="2528"/>
      <c r="B51" s="2529" t="str">
        <f t="shared" ref="B51:C51" si="31">+B50</f>
        <v>RENTA</v>
      </c>
      <c r="C51" s="2530" t="str">
        <f t="shared" si="31"/>
        <v>Casa Habitación</v>
      </c>
      <c r="D51" s="2397"/>
      <c r="E51" s="2397"/>
      <c r="F51" s="2397"/>
      <c r="G51" s="2536"/>
      <c r="H51" s="2517"/>
      <c r="I51" s="2474"/>
      <c r="J51" s="2474"/>
      <c r="K51" s="2537"/>
      <c r="L51" s="2533" t="str">
        <f t="shared" si="27"/>
        <v>#DIV/0!</v>
      </c>
      <c r="M51" s="2522" t="str">
        <f>+L51*'OPI Constr'!$K$123</f>
        <v>#DIV/0!</v>
      </c>
      <c r="N51" s="2534" t="str">
        <f t="shared" si="28"/>
        <v>#DIV/0!</v>
      </c>
      <c r="O51" s="2466"/>
      <c r="P51" s="2482"/>
      <c r="Q51" s="2483"/>
      <c r="R51" s="2491"/>
      <c r="S51" s="34"/>
      <c r="T51" s="34"/>
      <c r="U51" s="34"/>
      <c r="V51" s="34"/>
      <c r="W51" s="34"/>
      <c r="X51" s="34"/>
    </row>
    <row r="52" ht="12.75" customHeight="1" outlineLevel="1">
      <c r="A52" s="2476"/>
      <c r="B52" s="44"/>
      <c r="C52" s="2540" t="str">
        <f>+C51</f>
        <v>Casa Habitación</v>
      </c>
      <c r="E52" s="44"/>
      <c r="F52" s="93"/>
      <c r="G52" s="44"/>
      <c r="H52" s="44"/>
      <c r="I52" s="2541"/>
      <c r="J52" s="90"/>
      <c r="K52" s="44"/>
      <c r="L52" s="2542"/>
      <c r="M52" s="2542"/>
      <c r="N52" s="2543"/>
      <c r="O52" s="2395"/>
      <c r="P52" s="2478"/>
      <c r="Q52" s="34"/>
      <c r="R52" s="34"/>
      <c r="S52" s="34"/>
      <c r="T52" s="34"/>
      <c r="U52" s="34"/>
      <c r="V52" s="34"/>
      <c r="W52" s="34"/>
      <c r="X52" s="34"/>
    </row>
    <row r="53" ht="12.75" customHeight="1" outlineLevel="1">
      <c r="G53" s="34"/>
      <c r="H53" s="2393"/>
      <c r="I53" s="2393"/>
      <c r="J53" s="2394"/>
      <c r="K53" s="2393"/>
      <c r="L53" s="2393"/>
      <c r="M53" s="2395"/>
      <c r="N53" s="2396"/>
      <c r="O53" s="34"/>
      <c r="P53" s="34"/>
      <c r="Q53" s="34"/>
      <c r="R53" s="34"/>
      <c r="S53" s="34"/>
      <c r="T53" s="34"/>
      <c r="U53" s="34"/>
      <c r="V53" s="34"/>
      <c r="W53" s="34"/>
      <c r="X53" s="34"/>
    </row>
    <row r="54" ht="12.75" customHeight="1" outlineLevel="1">
      <c r="A54" s="2391" t="s">
        <v>928</v>
      </c>
      <c r="B54" s="2392"/>
      <c r="C54" s="2392"/>
      <c r="G54" s="34"/>
      <c r="H54" s="2393"/>
      <c r="J54" s="2394"/>
      <c r="K54" s="2393"/>
      <c r="L54" s="2393"/>
      <c r="M54" s="2395"/>
      <c r="N54" s="2396"/>
      <c r="O54" s="34"/>
      <c r="P54" s="34"/>
      <c r="Q54" s="34"/>
      <c r="R54" s="34"/>
      <c r="S54" s="34"/>
      <c r="T54" s="34"/>
      <c r="U54" s="34"/>
      <c r="V54" s="34"/>
      <c r="W54" s="34"/>
      <c r="X54" s="34"/>
    </row>
    <row r="55" ht="12.75" customHeight="1" outlineLevel="1">
      <c r="A55" s="2397"/>
      <c r="B55" s="2397"/>
      <c r="C55" s="2397"/>
      <c r="D55" s="2397"/>
      <c r="E55" s="2397"/>
      <c r="F55" s="2397"/>
      <c r="G55" s="2397"/>
      <c r="H55" s="2397"/>
      <c r="I55" s="2397"/>
      <c r="J55" s="2544"/>
      <c r="K55" s="2397"/>
      <c r="L55" s="2397"/>
      <c r="M55" s="2545"/>
      <c r="N55" s="2546"/>
      <c r="O55" s="2547" t="s">
        <v>929</v>
      </c>
      <c r="P55" s="2349" t="s">
        <v>930</v>
      </c>
      <c r="Q55" s="2349" t="s">
        <v>717</v>
      </c>
      <c r="R55" s="2349" t="s">
        <v>931</v>
      </c>
      <c r="S55" s="2349" t="s">
        <v>586</v>
      </c>
      <c r="T55" s="34"/>
      <c r="U55" s="34"/>
      <c r="V55" s="34"/>
      <c r="W55" s="34"/>
      <c r="X55" s="34"/>
    </row>
    <row r="56" ht="12.75" customHeight="1" outlineLevel="1">
      <c r="A56" s="2397"/>
      <c r="B56" s="2397"/>
      <c r="C56" s="2397"/>
      <c r="D56" s="2397"/>
      <c r="E56" s="2397"/>
      <c r="F56" s="2397"/>
      <c r="G56" s="2397"/>
      <c r="H56" s="2397"/>
      <c r="I56" s="2548"/>
      <c r="J56" s="2549"/>
      <c r="K56" s="2397"/>
      <c r="L56" s="2397"/>
      <c r="M56" s="2545"/>
      <c r="N56" s="2546"/>
      <c r="O56" s="2547" t="s">
        <v>932</v>
      </c>
      <c r="P56" s="93"/>
      <c r="Q56" s="93"/>
      <c r="R56" s="93"/>
      <c r="S56" s="93"/>
      <c r="T56" s="34"/>
      <c r="U56" s="34"/>
      <c r="V56" s="34"/>
      <c r="W56" s="34"/>
      <c r="X56" s="34"/>
      <c r="Y56" s="34"/>
      <c r="Z56" s="34"/>
    </row>
    <row r="57" ht="12.75" customHeight="1" outlineLevel="1">
      <c r="A57" s="2397"/>
      <c r="B57" s="2397"/>
      <c r="C57" s="2397"/>
      <c r="D57" s="2397"/>
      <c r="E57" s="2397"/>
      <c r="F57" s="2397"/>
      <c r="G57" s="2397"/>
      <c r="H57" s="2397"/>
      <c r="I57" s="2397"/>
      <c r="J57" s="2397"/>
      <c r="K57" s="2397"/>
      <c r="L57" s="2397"/>
      <c r="M57" s="2550"/>
      <c r="N57" s="2546"/>
      <c r="O57" s="2547" t="s">
        <v>933</v>
      </c>
      <c r="P57" s="93"/>
      <c r="Q57" s="93"/>
      <c r="R57" s="93"/>
      <c r="S57" s="93"/>
      <c r="T57" s="34"/>
      <c r="U57" s="34"/>
      <c r="V57" s="34"/>
      <c r="W57" s="34"/>
      <c r="X57" s="741"/>
      <c r="Y57" s="34"/>
      <c r="Z57" s="34"/>
    </row>
    <row r="58" ht="12.75" customHeight="1" outlineLevel="1">
      <c r="A58" s="2397"/>
      <c r="B58" s="2397"/>
      <c r="C58" s="2397"/>
      <c r="D58" s="2397"/>
      <c r="E58" s="2397"/>
      <c r="F58" s="2397"/>
      <c r="G58" s="2397"/>
      <c r="H58" s="2397"/>
      <c r="I58" s="2397"/>
      <c r="J58" s="2397"/>
      <c r="K58" s="2397"/>
      <c r="L58" s="2397"/>
      <c r="M58" s="2550"/>
      <c r="N58" s="2546"/>
      <c r="O58" s="2547" t="s">
        <v>934</v>
      </c>
      <c r="P58" s="2551"/>
      <c r="Q58" s="90"/>
      <c r="R58" s="93"/>
      <c r="S58" s="93"/>
      <c r="T58" s="34"/>
      <c r="U58" s="34"/>
      <c r="V58" s="34"/>
      <c r="W58" s="34"/>
      <c r="X58" s="741"/>
      <c r="Y58" s="34"/>
      <c r="Z58" s="34"/>
    </row>
    <row r="59" ht="12.75" customHeight="1" outlineLevel="1">
      <c r="A59" s="2397"/>
      <c r="B59" s="2397"/>
      <c r="C59" s="2397"/>
      <c r="D59" s="2397"/>
      <c r="E59" s="2397"/>
      <c r="F59" s="2397"/>
      <c r="G59" s="2397"/>
      <c r="H59" s="2397"/>
      <c r="I59" s="2397"/>
      <c r="J59" s="2397"/>
      <c r="K59" s="2397"/>
      <c r="L59" s="2397"/>
      <c r="M59" s="2550"/>
      <c r="N59" s="2546"/>
      <c r="O59" s="2547" t="s">
        <v>935</v>
      </c>
      <c r="P59" s="93"/>
      <c r="Q59" s="93"/>
      <c r="R59" s="93"/>
      <c r="S59" s="93"/>
      <c r="T59" s="34"/>
      <c r="U59" s="34"/>
      <c r="V59" s="34"/>
      <c r="W59" s="34"/>
      <c r="X59" s="741"/>
      <c r="Y59" s="34"/>
      <c r="Z59" s="34"/>
    </row>
    <row r="60" ht="12.75" customHeight="1">
      <c r="H60" s="34"/>
      <c r="I60" s="34"/>
      <c r="J60" s="34"/>
      <c r="K60" s="34"/>
      <c r="L60" s="34"/>
      <c r="M60" s="2395"/>
      <c r="N60" s="2552"/>
      <c r="O60" s="305"/>
      <c r="P60" s="93"/>
      <c r="Q60" s="93"/>
      <c r="R60" s="93"/>
      <c r="S60" s="93"/>
      <c r="T60" s="34"/>
      <c r="U60" s="34"/>
      <c r="V60" s="34"/>
      <c r="W60" s="44"/>
      <c r="X60" s="2553"/>
      <c r="Y60" s="34"/>
      <c r="Z60" s="34"/>
    </row>
    <row r="61" ht="12.75" customHeight="1">
      <c r="A61" s="2554" t="s">
        <v>936</v>
      </c>
      <c r="B61" s="467"/>
      <c r="C61" s="467"/>
      <c r="D61" s="467"/>
      <c r="E61" s="467"/>
      <c r="F61" s="467"/>
      <c r="G61" s="695"/>
      <c r="H61" s="2410" t="s">
        <v>937</v>
      </c>
      <c r="I61" s="2336"/>
      <c r="J61" s="2411"/>
      <c r="K61" s="2393"/>
      <c r="L61" s="2393"/>
      <c r="M61" s="2492"/>
      <c r="N61" s="2492"/>
      <c r="O61" s="2395"/>
      <c r="P61" s="2478"/>
      <c r="Q61" s="34"/>
      <c r="R61" s="741"/>
    </row>
    <row r="62" ht="12.75" hidden="1" customHeight="1" outlineLevel="1">
      <c r="A62" s="2337" t="s">
        <v>923</v>
      </c>
      <c r="B62" s="2338" t="s">
        <v>862</v>
      </c>
      <c r="C62" s="2338" t="s">
        <v>178</v>
      </c>
      <c r="D62" s="2339" t="s">
        <v>863</v>
      </c>
      <c r="E62" s="2340" t="s">
        <v>719</v>
      </c>
      <c r="F62" s="2341" t="s">
        <v>864</v>
      </c>
      <c r="G62" s="2342" t="s">
        <v>865</v>
      </c>
      <c r="H62" s="2342" t="s">
        <v>865</v>
      </c>
      <c r="I62" s="2343" t="s">
        <v>866</v>
      </c>
      <c r="J62" s="2555" t="s">
        <v>867</v>
      </c>
      <c r="K62" s="2556" t="s">
        <v>924</v>
      </c>
      <c r="L62" s="2509" t="s">
        <v>925</v>
      </c>
      <c r="M62" s="2510" t="s">
        <v>926</v>
      </c>
      <c r="N62" s="2511" t="s">
        <v>927</v>
      </c>
      <c r="O62" s="2557" t="s">
        <v>889</v>
      </c>
      <c r="P62" s="2557" t="s">
        <v>870</v>
      </c>
      <c r="Q62" s="2557" t="s">
        <v>871</v>
      </c>
      <c r="R62" s="2557" t="s">
        <v>872</v>
      </c>
    </row>
    <row r="63" ht="12.75" hidden="1" customHeight="1" outlineLevel="1">
      <c r="A63" s="2512"/>
      <c r="B63" s="2513" t="s">
        <v>924</v>
      </c>
      <c r="C63" s="2514" t="str">
        <f>+C46</f>
        <v>TIPO:</v>
      </c>
      <c r="D63" s="2515"/>
      <c r="E63" s="2515"/>
      <c r="F63" s="2515"/>
      <c r="G63" s="2516"/>
      <c r="H63" s="2517"/>
      <c r="I63" s="2516"/>
      <c r="J63" s="2515"/>
      <c r="K63" s="2521"/>
      <c r="L63" s="2521" t="str">
        <f t="shared" ref="L63:L67" si="33">+K63/I63</f>
        <v>#DIV/0!</v>
      </c>
      <c r="M63" s="2522" t="str">
        <f t="shared" ref="M63:M67" si="34">+L63*'OPI Constr'!$C$121</f>
        <v>#DIV/0!</v>
      </c>
      <c r="N63" s="2523" t="str">
        <f t="shared" ref="N63:N67" si="35">+(L63*12-(L63*12*0.2839))/0.0661</f>
        <v>#DIV/0!</v>
      </c>
      <c r="O63" s="2558"/>
      <c r="P63" s="2559"/>
      <c r="Q63" s="2559"/>
      <c r="R63" s="2560"/>
      <c r="S63" s="2395"/>
      <c r="T63" s="34"/>
      <c r="U63" s="34"/>
      <c r="V63" s="2527"/>
      <c r="W63" s="34"/>
      <c r="X63" s="741"/>
    </row>
    <row r="64" ht="12.75" hidden="1" customHeight="1" outlineLevel="1">
      <c r="A64" s="2528"/>
      <c r="B64" s="2529" t="str">
        <f t="shared" ref="B64:C64" si="32">+B63</f>
        <v>RENTA</v>
      </c>
      <c r="C64" s="2530" t="str">
        <f t="shared" si="32"/>
        <v>TIPO:</v>
      </c>
      <c r="D64" s="2397"/>
      <c r="E64" s="2480"/>
      <c r="F64" s="2480"/>
      <c r="G64" s="2531"/>
      <c r="H64" s="2517"/>
      <c r="I64" s="2397"/>
      <c r="J64" s="2397"/>
      <c r="K64" s="2533"/>
      <c r="L64" s="2521" t="str">
        <f t="shared" si="33"/>
        <v>#DIV/0!</v>
      </c>
      <c r="M64" s="2550" t="str">
        <f t="shared" si="34"/>
        <v>#DIV/0!</v>
      </c>
      <c r="N64" s="2534" t="str">
        <f t="shared" si="35"/>
        <v>#DIV/0!</v>
      </c>
      <c r="O64" s="2558"/>
      <c r="P64" s="2559"/>
      <c r="Q64" s="2559"/>
      <c r="R64" s="2560"/>
      <c r="S64" s="2395"/>
      <c r="T64" s="34"/>
      <c r="U64" s="2493"/>
      <c r="V64" s="34"/>
      <c r="W64" s="34"/>
      <c r="X64" s="741"/>
    </row>
    <row r="65" ht="12.75" hidden="1" customHeight="1" outlineLevel="1">
      <c r="A65" s="2528"/>
      <c r="B65" s="2529" t="str">
        <f t="shared" ref="B65:C65" si="36">+B64</f>
        <v>RENTA</v>
      </c>
      <c r="C65" s="2530" t="str">
        <f t="shared" si="36"/>
        <v>TIPO:</v>
      </c>
      <c r="D65" s="2397"/>
      <c r="E65" s="2480"/>
      <c r="F65" s="2480"/>
      <c r="G65" s="2536"/>
      <c r="H65" s="2517"/>
      <c r="I65" s="2397"/>
      <c r="J65" s="2397"/>
      <c r="K65" s="2488"/>
      <c r="L65" s="2521" t="str">
        <f t="shared" si="33"/>
        <v>#DIV/0!</v>
      </c>
      <c r="M65" s="2550" t="str">
        <f t="shared" si="34"/>
        <v>#DIV/0!</v>
      </c>
      <c r="N65" s="2534" t="str">
        <f t="shared" si="35"/>
        <v>#DIV/0!</v>
      </c>
      <c r="O65" s="2561"/>
      <c r="P65" s="2369"/>
      <c r="Q65" s="2369"/>
      <c r="R65" s="2562"/>
      <c r="S65" s="34"/>
      <c r="T65" s="34"/>
      <c r="U65" s="34"/>
      <c r="V65" s="34"/>
      <c r="W65" s="34"/>
      <c r="X65" s="34"/>
    </row>
    <row r="66" ht="12.75" hidden="1" customHeight="1" outlineLevel="1">
      <c r="A66" s="2512"/>
      <c r="B66" s="2538" t="str">
        <f t="shared" ref="B66:C66" si="37">+B65</f>
        <v>RENTA</v>
      </c>
      <c r="C66" s="2530" t="str">
        <f t="shared" si="37"/>
        <v>TIPO:</v>
      </c>
      <c r="D66" s="2397"/>
      <c r="E66" s="2397"/>
      <c r="F66" s="2397"/>
      <c r="G66" s="2536"/>
      <c r="H66" s="2517"/>
      <c r="I66" s="2536"/>
      <c r="J66" s="2397"/>
      <c r="K66" s="2533"/>
      <c r="L66" s="2521" t="str">
        <f t="shared" si="33"/>
        <v>#DIV/0!</v>
      </c>
      <c r="M66" s="2522" t="str">
        <f t="shared" si="34"/>
        <v>#DIV/0!</v>
      </c>
      <c r="N66" s="2534" t="str">
        <f t="shared" si="35"/>
        <v>#DIV/0!</v>
      </c>
      <c r="O66" s="2561"/>
      <c r="P66" s="2369"/>
      <c r="Q66" s="2369"/>
      <c r="R66" s="2563"/>
      <c r="S66" s="34"/>
      <c r="T66" s="34"/>
      <c r="U66" s="34"/>
      <c r="V66" s="34"/>
      <c r="W66" s="34"/>
      <c r="X66" s="34"/>
    </row>
    <row r="67" ht="12.75" hidden="1" customHeight="1" outlineLevel="1">
      <c r="A67" s="2528"/>
      <c r="B67" s="2529" t="str">
        <f t="shared" ref="B67:C67" si="38">+B66</f>
        <v>RENTA</v>
      </c>
      <c r="C67" s="2530" t="str">
        <f t="shared" si="38"/>
        <v>TIPO:</v>
      </c>
      <c r="D67" s="2397"/>
      <c r="E67" s="2397"/>
      <c r="F67" s="2397"/>
      <c r="G67" s="2536"/>
      <c r="H67" s="2517"/>
      <c r="I67" s="2397"/>
      <c r="J67" s="2397"/>
      <c r="K67" s="2488"/>
      <c r="L67" s="2521" t="str">
        <f t="shared" si="33"/>
        <v>#DIV/0!</v>
      </c>
      <c r="M67" s="2550" t="str">
        <f t="shared" si="34"/>
        <v>#DIV/0!</v>
      </c>
      <c r="N67" s="2534" t="str">
        <f t="shared" si="35"/>
        <v>#DIV/0!</v>
      </c>
      <c r="O67" s="2561"/>
      <c r="P67" s="2369"/>
      <c r="Q67" s="2369"/>
      <c r="R67" s="2562"/>
      <c r="S67" s="34"/>
      <c r="T67" s="34"/>
      <c r="U67" s="34"/>
      <c r="V67" s="34"/>
      <c r="W67" s="34"/>
      <c r="X67" s="34"/>
    </row>
    <row r="68" ht="12.75" hidden="1" customHeight="1" outlineLevel="1">
      <c r="A68" s="2476"/>
      <c r="B68" s="44"/>
      <c r="C68" s="2540" t="str">
        <f>+C67</f>
        <v>TIPO:</v>
      </c>
      <c r="E68" s="44"/>
      <c r="F68" s="93"/>
      <c r="G68" s="44"/>
      <c r="H68" s="44"/>
      <c r="I68" s="2541"/>
      <c r="J68" s="90"/>
      <c r="K68" s="44"/>
      <c r="L68" s="2542"/>
      <c r="M68" s="2542"/>
      <c r="N68" s="2543"/>
      <c r="O68" s="2395"/>
      <c r="P68" s="2478"/>
      <c r="Q68" s="34"/>
      <c r="R68" s="34"/>
      <c r="S68" s="34"/>
      <c r="T68" s="34"/>
      <c r="U68" s="34"/>
      <c r="V68" s="34"/>
      <c r="W68" s="34"/>
      <c r="X68" s="34"/>
    </row>
    <row r="69" ht="12.75" hidden="1" customHeight="1" outlineLevel="1">
      <c r="G69" s="34"/>
      <c r="H69" s="2393"/>
      <c r="I69" s="2393"/>
      <c r="J69" s="2394"/>
      <c r="K69" s="2393"/>
      <c r="L69" s="2393"/>
      <c r="M69" s="2395"/>
      <c r="N69" s="2396"/>
      <c r="O69" s="34"/>
      <c r="P69" s="34"/>
      <c r="Q69" s="34"/>
      <c r="R69" s="34"/>
      <c r="S69" s="34"/>
      <c r="T69" s="34"/>
      <c r="U69" s="34"/>
      <c r="V69" s="34"/>
      <c r="W69" s="34"/>
      <c r="X69" s="34"/>
    </row>
    <row r="70" ht="12.75" hidden="1" customHeight="1" outlineLevel="1">
      <c r="A70" s="2391" t="s">
        <v>928</v>
      </c>
      <c r="B70" s="2392"/>
      <c r="C70" s="2392"/>
      <c r="G70" s="34"/>
      <c r="H70" s="2393"/>
      <c r="J70" s="2394"/>
      <c r="K70" s="2393"/>
      <c r="L70" s="2393"/>
      <c r="M70" s="2395"/>
      <c r="N70" s="2396"/>
      <c r="O70" s="34"/>
      <c r="P70" s="34"/>
      <c r="Q70" s="34"/>
      <c r="R70" s="34"/>
      <c r="S70" s="34"/>
      <c r="T70" s="34"/>
      <c r="U70" s="34"/>
      <c r="V70" s="34"/>
      <c r="W70" s="34"/>
      <c r="X70" s="34"/>
    </row>
    <row r="71" ht="12.75" hidden="1" customHeight="1" outlineLevel="1">
      <c r="A71" s="2397"/>
      <c r="B71" s="2397"/>
      <c r="C71" s="2397"/>
      <c r="D71" s="2397"/>
      <c r="E71" s="2397"/>
      <c r="F71" s="2397"/>
      <c r="G71" s="2397"/>
      <c r="H71" s="2397"/>
      <c r="I71" s="2397"/>
      <c r="J71" s="2544"/>
      <c r="K71" s="2397"/>
      <c r="L71" s="2521" t="str">
        <f t="shared" ref="L71:L75" si="39">+K71/I71</f>
        <v>#DIV/0!</v>
      </c>
      <c r="M71" s="2545"/>
      <c r="N71" s="2546"/>
      <c r="O71" s="2547" t="s">
        <v>929</v>
      </c>
      <c r="P71" s="2349" t="s">
        <v>930</v>
      </c>
      <c r="Q71" s="2349" t="s">
        <v>717</v>
      </c>
      <c r="R71" s="2349" t="s">
        <v>931</v>
      </c>
      <c r="S71" s="2349" t="s">
        <v>586</v>
      </c>
      <c r="T71" s="34"/>
      <c r="U71" s="34"/>
      <c r="V71" s="34"/>
      <c r="W71" s="34"/>
      <c r="X71" s="34"/>
    </row>
    <row r="72" ht="12.75" hidden="1" customHeight="1" outlineLevel="1">
      <c r="A72" s="2397"/>
      <c r="B72" s="2397"/>
      <c r="C72" s="2397"/>
      <c r="D72" s="2397"/>
      <c r="E72" s="2397"/>
      <c r="F72" s="2397"/>
      <c r="G72" s="2397"/>
      <c r="H72" s="2397"/>
      <c r="I72" s="2548"/>
      <c r="J72" s="2549"/>
      <c r="K72" s="2397"/>
      <c r="L72" s="2521" t="str">
        <f t="shared" si="39"/>
        <v>#DIV/0!</v>
      </c>
      <c r="M72" s="2545"/>
      <c r="N72" s="2546"/>
      <c r="O72" s="2547" t="s">
        <v>932</v>
      </c>
      <c r="P72" s="93"/>
      <c r="Q72" s="93"/>
      <c r="R72" s="93"/>
      <c r="S72" s="93"/>
      <c r="T72" s="34"/>
      <c r="U72" s="34"/>
      <c r="V72" s="34"/>
      <c r="W72" s="34"/>
      <c r="X72" s="34"/>
      <c r="Y72" s="34"/>
      <c r="Z72" s="34"/>
    </row>
    <row r="73" ht="12.75" hidden="1" customHeight="1" outlineLevel="1">
      <c r="A73" s="2397"/>
      <c r="B73" s="2397"/>
      <c r="C73" s="2397"/>
      <c r="D73" s="2397"/>
      <c r="E73" s="2397"/>
      <c r="F73" s="2397"/>
      <c r="G73" s="2397"/>
      <c r="H73" s="2397"/>
      <c r="I73" s="2397"/>
      <c r="J73" s="2397"/>
      <c r="K73" s="2397"/>
      <c r="L73" s="2521" t="str">
        <f t="shared" si="39"/>
        <v>#DIV/0!</v>
      </c>
      <c r="M73" s="2550"/>
      <c r="N73" s="2546"/>
      <c r="O73" s="2547" t="s">
        <v>933</v>
      </c>
      <c r="P73" s="93"/>
      <c r="Q73" s="93"/>
      <c r="R73" s="93"/>
      <c r="S73" s="93"/>
      <c r="T73" s="34"/>
      <c r="U73" s="34"/>
      <c r="V73" s="34"/>
      <c r="W73" s="34"/>
      <c r="X73" s="741"/>
      <c r="Y73" s="34"/>
      <c r="Z73" s="34"/>
    </row>
    <row r="74" ht="12.75" hidden="1" customHeight="1" outlineLevel="1">
      <c r="A74" s="2397"/>
      <c r="B74" s="2397"/>
      <c r="C74" s="2397"/>
      <c r="D74" s="2397"/>
      <c r="E74" s="2397"/>
      <c r="F74" s="2397"/>
      <c r="G74" s="2397"/>
      <c r="H74" s="2397"/>
      <c r="I74" s="2397"/>
      <c r="J74" s="2397"/>
      <c r="K74" s="2397"/>
      <c r="L74" s="2521" t="str">
        <f t="shared" si="39"/>
        <v>#DIV/0!</v>
      </c>
      <c r="M74" s="2550"/>
      <c r="N74" s="2546"/>
      <c r="O74" s="2547" t="s">
        <v>934</v>
      </c>
      <c r="P74" s="2551"/>
      <c r="Q74" s="90"/>
      <c r="R74" s="93"/>
      <c r="S74" s="93"/>
      <c r="T74" s="34"/>
      <c r="U74" s="34"/>
      <c r="V74" s="34"/>
      <c r="W74" s="34"/>
      <c r="X74" s="741"/>
      <c r="Y74" s="34"/>
      <c r="Z74" s="34"/>
    </row>
    <row r="75" ht="12.75" hidden="1" customHeight="1" outlineLevel="1">
      <c r="A75" s="2397"/>
      <c r="B75" s="2397"/>
      <c r="C75" s="2397"/>
      <c r="D75" s="2397"/>
      <c r="E75" s="2397"/>
      <c r="F75" s="2397"/>
      <c r="G75" s="2397"/>
      <c r="H75" s="2397"/>
      <c r="I75" s="2397"/>
      <c r="J75" s="2397"/>
      <c r="K75" s="2397"/>
      <c r="L75" s="2521" t="str">
        <f t="shared" si="39"/>
        <v>#DIV/0!</v>
      </c>
      <c r="M75" s="2550"/>
      <c r="N75" s="2546"/>
      <c r="O75" s="2547" t="s">
        <v>935</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2:I34 H38:H39 J38:J39 L38:M39 N38:N42 I39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I30 M30:N30 N38 P47:Q47">
    <cfRule type="containsBlanks" dxfId="1" priority="4">
      <formula>LEN(TRIM(D30))=0</formula>
    </cfRule>
  </conditionalFormatting>
  <conditionalFormatting sqref="I31:I32">
    <cfRule type="containsBlanks" dxfId="1" priority="5">
      <formula>LEN(TRIM(I31))=0</formula>
    </cfRule>
  </conditionalFormatting>
  <conditionalFormatting sqref="I31 I38">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2:O34 O39 O41:O42 R50:R51">
    <cfRule type="containsBlanks" dxfId="1" priority="16">
      <formula>LEN(TRIM(O32))=0</formula>
    </cfRule>
  </conditionalFormatting>
  <conditionalFormatting sqref="O30:O32 O34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G39 A41:H41 E48:E49 E64:E65">
      <formula1>LTE(LEN(A38),(30))</formula1>
    </dataValidation>
  </dataValidations>
  <hyperlinks>
    <hyperlink r:id="rId2" ref="N4"/>
    <hyperlink r:id="rId3" ref="N6"/>
    <hyperlink r:id="rId4" ref="O30"/>
    <hyperlink r:id="rId5" ref="O31"/>
    <hyperlink r:id="rId6" ref="O32"/>
    <hyperlink r:id="rId7" ref="O33"/>
    <hyperlink r:id="rId8" ref="O34"/>
    <hyperlink r:id="rId9" ref="O38"/>
    <hyperlink r:id="rId10" ref="O39"/>
  </hyperlinks>
  <printOptions/>
  <pageMargins bottom="1.0" footer="0.0" header="0.0" left="0.75" right="0.75" top="1.0"/>
  <pageSetup orientation="portrait"/>
  <drawing r:id="rId11"/>
  <legacy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5" t="s">
        <v>938</v>
      </c>
      <c r="B1" s="2564">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60" t="s">
        <v>939</v>
      </c>
      <c r="K2" s="720"/>
      <c r="L2" s="720"/>
      <c r="M2" s="720"/>
      <c r="N2" s="720"/>
      <c r="O2" s="720"/>
      <c r="P2" s="720"/>
      <c r="Q2" s="720"/>
      <c r="R2" s="720"/>
      <c r="S2" s="720"/>
      <c r="T2" s="720"/>
      <c r="U2" s="720"/>
      <c r="V2" s="720"/>
      <c r="W2" s="720"/>
      <c r="X2" s="720"/>
      <c r="Y2" s="720"/>
      <c r="Z2" s="720"/>
    </row>
    <row r="3" ht="9.75" customHeight="1">
      <c r="A3" s="1060">
        <v>1.0</v>
      </c>
      <c r="B3" s="1060">
        <v>2.0</v>
      </c>
      <c r="C3" s="1060">
        <v>3.0</v>
      </c>
      <c r="D3" s="1060">
        <v>4.0</v>
      </c>
      <c r="E3" s="1060">
        <v>5.0</v>
      </c>
      <c r="F3" s="1060">
        <v>6.0</v>
      </c>
      <c r="G3" s="1060">
        <v>7.0</v>
      </c>
      <c r="H3" s="1060">
        <v>8.0</v>
      </c>
      <c r="I3" s="1060">
        <v>9.0</v>
      </c>
      <c r="J3" s="1060">
        <v>10.0</v>
      </c>
      <c r="K3" s="720"/>
      <c r="L3" s="720"/>
      <c r="M3" s="720"/>
      <c r="N3" s="720"/>
      <c r="O3" s="720"/>
      <c r="P3" s="720"/>
      <c r="Q3" s="720"/>
      <c r="R3" s="720"/>
      <c r="S3" s="720"/>
      <c r="T3" s="720"/>
      <c r="U3" s="720"/>
      <c r="V3" s="720"/>
      <c r="W3" s="720"/>
      <c r="X3" s="720"/>
      <c r="Y3" s="720"/>
      <c r="Z3" s="720"/>
    </row>
    <row r="4" ht="9.75" customHeight="1">
      <c r="A4" s="2565" t="s">
        <v>587</v>
      </c>
      <c r="B4" s="2333"/>
      <c r="C4" s="2333"/>
      <c r="D4" s="2333"/>
      <c r="E4" s="2333"/>
      <c r="F4" s="2333"/>
      <c r="G4" s="2333"/>
      <c r="H4" s="2333"/>
      <c r="I4" s="2333"/>
      <c r="J4" s="2566"/>
      <c r="K4" s="176"/>
      <c r="L4" s="176"/>
      <c r="M4" s="176"/>
      <c r="N4" s="176"/>
      <c r="O4" s="176"/>
      <c r="P4" s="176"/>
      <c r="Q4" s="176"/>
      <c r="R4" s="176"/>
      <c r="S4" s="176"/>
      <c r="T4" s="176"/>
      <c r="U4" s="176"/>
      <c r="V4" s="176"/>
      <c r="W4" s="176"/>
      <c r="X4" s="176"/>
      <c r="Y4" s="176"/>
      <c r="Z4" s="176"/>
    </row>
    <row r="5" ht="9.75" customHeight="1">
      <c r="A5" s="2567" t="s">
        <v>664</v>
      </c>
      <c r="B5" s="2568" t="s">
        <v>665</v>
      </c>
      <c r="C5" s="2568" t="s">
        <v>666</v>
      </c>
      <c r="D5" s="2568" t="s">
        <v>667</v>
      </c>
      <c r="E5" s="2568" t="s">
        <v>940</v>
      </c>
      <c r="F5" s="2568" t="s">
        <v>668</v>
      </c>
      <c r="G5" s="2568" t="s">
        <v>669</v>
      </c>
      <c r="H5" s="2568" t="s">
        <v>670</v>
      </c>
      <c r="I5" s="2568" t="s">
        <v>671</v>
      </c>
      <c r="J5" s="2569" t="s">
        <v>672</v>
      </c>
      <c r="K5" s="176"/>
      <c r="L5" s="2568" t="s">
        <v>665</v>
      </c>
      <c r="M5" s="176"/>
      <c r="N5" s="176"/>
      <c r="O5" s="176"/>
      <c r="P5" s="176"/>
      <c r="Q5" s="176"/>
      <c r="R5" s="176"/>
      <c r="S5" s="176"/>
      <c r="T5" s="176"/>
      <c r="U5" s="176"/>
      <c r="V5" s="176"/>
      <c r="W5" s="176"/>
      <c r="X5" s="176"/>
      <c r="Y5" s="176"/>
      <c r="Z5" s="176"/>
    </row>
    <row r="6" ht="12.0" customHeight="1">
      <c r="A6" s="2570">
        <v>0.0</v>
      </c>
      <c r="B6" s="2571">
        <v>1.0</v>
      </c>
      <c r="C6" s="2571">
        <f>1-0.00032</f>
        <v>0.99968</v>
      </c>
      <c r="D6" s="2571">
        <f>1-0.0252</f>
        <v>0.9748</v>
      </c>
      <c r="E6" s="2571">
        <f>1-0.0809</f>
        <v>0.9191</v>
      </c>
      <c r="F6" s="2571">
        <f>1-0.181</f>
        <v>0.819</v>
      </c>
      <c r="G6" s="2571">
        <f>1-0.332</f>
        <v>0.668</v>
      </c>
      <c r="H6" s="2571">
        <f>1-0.526</f>
        <v>0.474</v>
      </c>
      <c r="I6" s="2571">
        <f>1-0.752</f>
        <v>0.248</v>
      </c>
      <c r="J6" s="2572">
        <v>0.1</v>
      </c>
      <c r="K6" s="720"/>
      <c r="L6" s="2568" t="s">
        <v>666</v>
      </c>
      <c r="M6" s="720"/>
      <c r="N6" s="720"/>
      <c r="O6" s="720"/>
      <c r="P6" s="720"/>
      <c r="Q6" s="720"/>
      <c r="R6" s="720"/>
      <c r="S6" s="720"/>
      <c r="T6" s="720"/>
      <c r="U6" s="720"/>
      <c r="V6" s="720"/>
      <c r="W6" s="720"/>
      <c r="X6" s="720"/>
      <c r="Y6" s="720"/>
      <c r="Z6" s="720"/>
    </row>
    <row r="7" ht="12.0" customHeight="1">
      <c r="A7" s="2573">
        <v>1.0</v>
      </c>
      <c r="B7" s="2574">
        <f t="shared" ref="B7:B76" si="1">(1-(0.5*(($A7/$B$1)+(($A7/$B$1)^2))))*$B$6</f>
        <v>0.992755102</v>
      </c>
      <c r="C7" s="2574">
        <f t="shared" ref="C7:C76" si="2">(1-(0.5*(($A7/$B$1)+(($A7/$B$1)^2))))*$C$6</f>
        <v>0.9924374204</v>
      </c>
      <c r="D7" s="2574">
        <f t="shared" ref="D7:D76" si="3">(1-(0.5*(($A7/$B$1)+(($A7/$B$1)^2))))*$D$6</f>
        <v>0.9677376735</v>
      </c>
      <c r="E7" s="2574">
        <f t="shared" ref="E7:E76" si="4">(1-(0.5*(($A7/$B$1)+(($A7/$B$1)^2))))*$E$6</f>
        <v>0.9124412143</v>
      </c>
      <c r="F7" s="2574">
        <f t="shared" ref="F7:F76" si="5">(1-(0.5*(($A7/$B$1)+(($A7/$B$1)^2))))*$F$6</f>
        <v>0.8130664286</v>
      </c>
      <c r="G7" s="2574">
        <f t="shared" ref="G7:G76" si="6">(1-(0.5*(($A7/$B$1)+(($A7/$B$1)^2))))*$G$6</f>
        <v>0.6631604082</v>
      </c>
      <c r="H7" s="2574">
        <f t="shared" ref="H7:H76" si="7">(1-(0.5*(($A7/$B$1)+(($A7/$B$1)^2))))*$H$6</f>
        <v>0.4705659184</v>
      </c>
      <c r="I7" s="2574">
        <f t="shared" ref="I7:I76" si="8">(1-(0.5*(($A7/$B$1)+(($A7/$B$1)^2))))*$I$6</f>
        <v>0.2462032653</v>
      </c>
      <c r="J7" s="2575">
        <f t="shared" ref="J7:J76" si="9">(1-(0.5*(($A7/$B$1)+(($A7/$B$1)^2))))*$J$6</f>
        <v>0.0992755102</v>
      </c>
      <c r="K7" s="2576"/>
      <c r="L7" s="2568" t="s">
        <v>667</v>
      </c>
      <c r="M7" s="720"/>
      <c r="N7" s="720"/>
      <c r="O7" s="720"/>
      <c r="P7" s="720"/>
      <c r="Q7" s="2576"/>
      <c r="R7" s="2576"/>
      <c r="S7" s="2576"/>
      <c r="T7" s="2576"/>
      <c r="U7" s="2576"/>
      <c r="V7" s="2576"/>
      <c r="W7" s="2576"/>
      <c r="X7" s="2576"/>
      <c r="Y7" s="2576"/>
      <c r="Z7" s="2576"/>
    </row>
    <row r="8" ht="12.0" customHeight="1">
      <c r="A8" s="2577">
        <v>2.0</v>
      </c>
      <c r="B8" s="2578">
        <f t="shared" si="1"/>
        <v>0.9853061224</v>
      </c>
      <c r="C8" s="2578">
        <f t="shared" si="2"/>
        <v>0.9849908245</v>
      </c>
      <c r="D8" s="2578">
        <f t="shared" si="3"/>
        <v>0.9604764082</v>
      </c>
      <c r="E8" s="2578">
        <f t="shared" si="4"/>
        <v>0.9055948571</v>
      </c>
      <c r="F8" s="2578">
        <f t="shared" si="5"/>
        <v>0.8069657143</v>
      </c>
      <c r="G8" s="2578">
        <f t="shared" si="6"/>
        <v>0.6581844898</v>
      </c>
      <c r="H8" s="2578">
        <f t="shared" si="7"/>
        <v>0.467035102</v>
      </c>
      <c r="I8" s="2578">
        <f t="shared" si="8"/>
        <v>0.2443559184</v>
      </c>
      <c r="J8" s="2579">
        <f t="shared" si="9"/>
        <v>0.09853061224</v>
      </c>
      <c r="K8" s="720"/>
      <c r="L8" s="2568" t="s">
        <v>940</v>
      </c>
      <c r="M8" s="720"/>
      <c r="N8" s="720"/>
      <c r="O8" s="720"/>
      <c r="P8" s="720"/>
      <c r="Q8" s="720"/>
      <c r="R8" s="720"/>
      <c r="S8" s="720"/>
      <c r="T8" s="720"/>
      <c r="U8" s="720"/>
      <c r="V8" s="720"/>
      <c r="W8" s="720"/>
      <c r="X8" s="720"/>
      <c r="Y8" s="720"/>
      <c r="Z8" s="720"/>
    </row>
    <row r="9" ht="12.0" customHeight="1">
      <c r="A9" s="2570">
        <v>3.0</v>
      </c>
      <c r="B9" s="2580">
        <f t="shared" si="1"/>
        <v>0.9776530612</v>
      </c>
      <c r="C9" s="2580">
        <f t="shared" si="2"/>
        <v>0.9773402122</v>
      </c>
      <c r="D9" s="2580">
        <f t="shared" si="3"/>
        <v>0.9530162041</v>
      </c>
      <c r="E9" s="2580">
        <f t="shared" si="4"/>
        <v>0.8985609286</v>
      </c>
      <c r="F9" s="2580">
        <f t="shared" si="5"/>
        <v>0.8006978571</v>
      </c>
      <c r="G9" s="2580">
        <f t="shared" si="6"/>
        <v>0.6530722449</v>
      </c>
      <c r="H9" s="2580">
        <f t="shared" si="7"/>
        <v>0.463407551</v>
      </c>
      <c r="I9" s="2580">
        <f t="shared" si="8"/>
        <v>0.2424579592</v>
      </c>
      <c r="J9" s="2581">
        <f t="shared" si="9"/>
        <v>0.09776530612</v>
      </c>
      <c r="K9" s="720"/>
      <c r="L9" s="2568" t="s">
        <v>668</v>
      </c>
      <c r="M9" s="720"/>
      <c r="N9" s="720"/>
      <c r="O9" s="720"/>
      <c r="P9" s="720"/>
      <c r="Q9" s="720"/>
      <c r="R9" s="720"/>
      <c r="S9" s="720"/>
      <c r="T9" s="720"/>
      <c r="U9" s="720"/>
      <c r="V9" s="720"/>
      <c r="W9" s="720"/>
      <c r="X9" s="720"/>
      <c r="Y9" s="720"/>
      <c r="Z9" s="720"/>
    </row>
    <row r="10" ht="12.0" customHeight="1">
      <c r="A10" s="2573">
        <v>4.0</v>
      </c>
      <c r="B10" s="2574">
        <f t="shared" si="1"/>
        <v>0.9697959184</v>
      </c>
      <c r="C10" s="2574">
        <f t="shared" si="2"/>
        <v>0.9694855837</v>
      </c>
      <c r="D10" s="2574">
        <f t="shared" si="3"/>
        <v>0.9453570612</v>
      </c>
      <c r="E10" s="2574">
        <f t="shared" si="4"/>
        <v>0.8913394286</v>
      </c>
      <c r="F10" s="2574">
        <f t="shared" si="5"/>
        <v>0.7942628571</v>
      </c>
      <c r="G10" s="2574">
        <f t="shared" si="6"/>
        <v>0.6478236735</v>
      </c>
      <c r="H10" s="2574">
        <f t="shared" si="7"/>
        <v>0.4596832653</v>
      </c>
      <c r="I10" s="2574">
        <f t="shared" si="8"/>
        <v>0.2405093878</v>
      </c>
      <c r="J10" s="2575">
        <f t="shared" si="9"/>
        <v>0.09697959184</v>
      </c>
      <c r="K10" s="2576"/>
      <c r="L10" s="2568" t="s">
        <v>669</v>
      </c>
      <c r="M10" s="720"/>
      <c r="N10" s="720"/>
      <c r="O10" s="720"/>
      <c r="P10" s="720"/>
      <c r="Q10" s="2576"/>
      <c r="R10" s="2576"/>
      <c r="S10" s="2576"/>
      <c r="T10" s="2576"/>
      <c r="U10" s="2576"/>
      <c r="V10" s="2576"/>
      <c r="W10" s="2576"/>
      <c r="X10" s="2576"/>
      <c r="Y10" s="2576"/>
      <c r="Z10" s="2576"/>
    </row>
    <row r="11" ht="12.0" customHeight="1">
      <c r="A11" s="2577">
        <v>5.0</v>
      </c>
      <c r="B11" s="2578">
        <f t="shared" si="1"/>
        <v>0.9617346939</v>
      </c>
      <c r="C11" s="2578">
        <f t="shared" si="2"/>
        <v>0.9614269388</v>
      </c>
      <c r="D11" s="2578">
        <f t="shared" si="3"/>
        <v>0.9374989796</v>
      </c>
      <c r="E11" s="2578">
        <f t="shared" si="4"/>
        <v>0.8839303571</v>
      </c>
      <c r="F11" s="2578">
        <f t="shared" si="5"/>
        <v>0.7876607143</v>
      </c>
      <c r="G11" s="2578">
        <f t="shared" si="6"/>
        <v>0.6424387755</v>
      </c>
      <c r="H11" s="2578">
        <f t="shared" si="7"/>
        <v>0.4558622449</v>
      </c>
      <c r="I11" s="2578">
        <f t="shared" si="8"/>
        <v>0.2385102041</v>
      </c>
      <c r="J11" s="2579">
        <f t="shared" si="9"/>
        <v>0.09617346939</v>
      </c>
      <c r="K11" s="720"/>
      <c r="L11" s="2568" t="s">
        <v>670</v>
      </c>
      <c r="M11" s="720"/>
      <c r="N11" s="720"/>
      <c r="O11" s="720"/>
      <c r="P11" s="720"/>
      <c r="Q11" s="720"/>
      <c r="R11" s="720"/>
      <c r="S11" s="720"/>
      <c r="T11" s="720"/>
      <c r="U11" s="720"/>
      <c r="V11" s="720"/>
      <c r="W11" s="720"/>
      <c r="X11" s="720"/>
      <c r="Y11" s="720"/>
      <c r="Z11" s="720"/>
    </row>
    <row r="12" ht="12.0" customHeight="1">
      <c r="A12" s="2570">
        <v>6.0</v>
      </c>
      <c r="B12" s="2580">
        <f t="shared" si="1"/>
        <v>0.9534693878</v>
      </c>
      <c r="C12" s="2580">
        <f t="shared" si="2"/>
        <v>0.9531642776</v>
      </c>
      <c r="D12" s="2580">
        <f t="shared" si="3"/>
        <v>0.9294419592</v>
      </c>
      <c r="E12" s="2580">
        <f t="shared" si="4"/>
        <v>0.8763337143</v>
      </c>
      <c r="F12" s="2580">
        <f t="shared" si="5"/>
        <v>0.7808914286</v>
      </c>
      <c r="G12" s="2580">
        <f t="shared" si="6"/>
        <v>0.636917551</v>
      </c>
      <c r="H12" s="2580">
        <f t="shared" si="7"/>
        <v>0.4519444898</v>
      </c>
      <c r="I12" s="2580">
        <f t="shared" si="8"/>
        <v>0.2364604082</v>
      </c>
      <c r="J12" s="2581">
        <f t="shared" si="9"/>
        <v>0.09534693878</v>
      </c>
      <c r="K12" s="720"/>
      <c r="L12" s="2568" t="s">
        <v>671</v>
      </c>
      <c r="M12" s="720"/>
      <c r="N12" s="720"/>
      <c r="O12" s="720"/>
      <c r="P12" s="720"/>
      <c r="Q12" s="720"/>
      <c r="R12" s="720"/>
      <c r="S12" s="720"/>
      <c r="T12" s="720"/>
      <c r="U12" s="720"/>
      <c r="V12" s="720"/>
      <c r="W12" s="720"/>
      <c r="X12" s="720"/>
      <c r="Y12" s="720"/>
      <c r="Z12" s="720"/>
    </row>
    <row r="13" ht="12.0" customHeight="1">
      <c r="A13" s="2573">
        <v>7.0</v>
      </c>
      <c r="B13" s="2574">
        <f t="shared" si="1"/>
        <v>0.945</v>
      </c>
      <c r="C13" s="2574">
        <f t="shared" si="2"/>
        <v>0.9446976</v>
      </c>
      <c r="D13" s="2574">
        <f t="shared" si="3"/>
        <v>0.921186</v>
      </c>
      <c r="E13" s="2574">
        <f t="shared" si="4"/>
        <v>0.8685495</v>
      </c>
      <c r="F13" s="2574">
        <f t="shared" si="5"/>
        <v>0.773955</v>
      </c>
      <c r="G13" s="2574">
        <f t="shared" si="6"/>
        <v>0.63126</v>
      </c>
      <c r="H13" s="2574">
        <f t="shared" si="7"/>
        <v>0.44793</v>
      </c>
      <c r="I13" s="2574">
        <f t="shared" si="8"/>
        <v>0.23436</v>
      </c>
      <c r="J13" s="2575">
        <f t="shared" si="9"/>
        <v>0.0945</v>
      </c>
      <c r="K13" s="2576"/>
      <c r="L13" s="2569" t="s">
        <v>672</v>
      </c>
      <c r="M13" s="720"/>
      <c r="N13" s="720"/>
      <c r="O13" s="720"/>
      <c r="P13" s="720"/>
      <c r="Q13" s="2576"/>
      <c r="R13" s="2576"/>
      <c r="S13" s="2576"/>
      <c r="T13" s="2576"/>
      <c r="U13" s="2576"/>
      <c r="V13" s="2576"/>
      <c r="W13" s="2576"/>
      <c r="X13" s="2576"/>
      <c r="Y13" s="2576"/>
      <c r="Z13" s="2576"/>
    </row>
    <row r="14" ht="12.0" customHeight="1">
      <c r="A14" s="2577">
        <v>8.0</v>
      </c>
      <c r="B14" s="2578">
        <f t="shared" si="1"/>
        <v>0.9363265306</v>
      </c>
      <c r="C14" s="2578">
        <f t="shared" si="2"/>
        <v>0.9360269061</v>
      </c>
      <c r="D14" s="2578">
        <f t="shared" si="3"/>
        <v>0.912731102</v>
      </c>
      <c r="E14" s="2578">
        <f t="shared" si="4"/>
        <v>0.8605777143</v>
      </c>
      <c r="F14" s="2578">
        <f t="shared" si="5"/>
        <v>0.7668514286</v>
      </c>
      <c r="G14" s="2578">
        <f t="shared" si="6"/>
        <v>0.6254661224</v>
      </c>
      <c r="H14" s="2578">
        <f t="shared" si="7"/>
        <v>0.4438187755</v>
      </c>
      <c r="I14" s="2578">
        <f t="shared" si="8"/>
        <v>0.2322089796</v>
      </c>
      <c r="J14" s="2579">
        <f t="shared" si="9"/>
        <v>0.09363265306</v>
      </c>
      <c r="K14" s="720"/>
      <c r="L14" s="720"/>
      <c r="M14" s="720"/>
      <c r="N14" s="720"/>
      <c r="O14" s="720"/>
      <c r="P14" s="720"/>
      <c r="Q14" s="720"/>
      <c r="R14" s="720"/>
      <c r="S14" s="720"/>
      <c r="T14" s="720"/>
      <c r="U14" s="720"/>
      <c r="V14" s="720"/>
      <c r="W14" s="720"/>
      <c r="X14" s="720"/>
      <c r="Y14" s="720"/>
      <c r="Z14" s="720"/>
    </row>
    <row r="15" ht="12.0" customHeight="1">
      <c r="A15" s="2570">
        <v>9.0</v>
      </c>
      <c r="B15" s="2580">
        <f t="shared" si="1"/>
        <v>0.9274489796</v>
      </c>
      <c r="C15" s="2580">
        <f t="shared" si="2"/>
        <v>0.9271521959</v>
      </c>
      <c r="D15" s="2580">
        <f t="shared" si="3"/>
        <v>0.9040772653</v>
      </c>
      <c r="E15" s="2580">
        <f t="shared" si="4"/>
        <v>0.8524183571</v>
      </c>
      <c r="F15" s="2580">
        <f t="shared" si="5"/>
        <v>0.7595807143</v>
      </c>
      <c r="G15" s="2580">
        <f t="shared" si="6"/>
        <v>0.6195359184</v>
      </c>
      <c r="H15" s="2580">
        <f t="shared" si="7"/>
        <v>0.4396108163</v>
      </c>
      <c r="I15" s="2580">
        <f t="shared" si="8"/>
        <v>0.2300073469</v>
      </c>
      <c r="J15" s="2581">
        <f t="shared" si="9"/>
        <v>0.09274489796</v>
      </c>
      <c r="K15" s="720"/>
      <c r="L15" s="720"/>
      <c r="M15" s="720"/>
      <c r="N15" s="720"/>
      <c r="O15" s="720"/>
      <c r="P15" s="720"/>
      <c r="Q15" s="720"/>
      <c r="R15" s="720"/>
      <c r="S15" s="720"/>
      <c r="T15" s="720"/>
      <c r="U15" s="720"/>
      <c r="V15" s="720"/>
      <c r="W15" s="720"/>
      <c r="X15" s="720"/>
      <c r="Y15" s="720"/>
      <c r="Z15" s="720"/>
    </row>
    <row r="16" ht="12.0" customHeight="1">
      <c r="A16" s="2573">
        <v>10.0</v>
      </c>
      <c r="B16" s="2574">
        <f t="shared" si="1"/>
        <v>0.9183673469</v>
      </c>
      <c r="C16" s="2574">
        <f t="shared" si="2"/>
        <v>0.9180734694</v>
      </c>
      <c r="D16" s="2574">
        <f t="shared" si="3"/>
        <v>0.8952244898</v>
      </c>
      <c r="E16" s="2574">
        <f t="shared" si="4"/>
        <v>0.8440714286</v>
      </c>
      <c r="F16" s="2574">
        <f t="shared" si="5"/>
        <v>0.7521428571</v>
      </c>
      <c r="G16" s="2574">
        <f t="shared" si="6"/>
        <v>0.6134693878</v>
      </c>
      <c r="H16" s="2574">
        <f t="shared" si="7"/>
        <v>0.4353061224</v>
      </c>
      <c r="I16" s="2574">
        <f t="shared" si="8"/>
        <v>0.227755102</v>
      </c>
      <c r="J16" s="2575">
        <f t="shared" si="9"/>
        <v>0.09183673469</v>
      </c>
      <c r="K16" s="2576"/>
      <c r="L16" s="720"/>
      <c r="M16" s="720"/>
      <c r="N16" s="720"/>
      <c r="O16" s="720"/>
      <c r="P16" s="720"/>
      <c r="Q16" s="2576"/>
      <c r="R16" s="2576"/>
      <c r="S16" s="2576"/>
      <c r="T16" s="2576"/>
      <c r="U16" s="2576"/>
      <c r="V16" s="2576"/>
      <c r="W16" s="2576"/>
      <c r="X16" s="2576"/>
      <c r="Y16" s="2576"/>
      <c r="Z16" s="2576"/>
    </row>
    <row r="17" ht="12.0" customHeight="1">
      <c r="A17" s="2577">
        <v>11.0</v>
      </c>
      <c r="B17" s="2578">
        <f t="shared" si="1"/>
        <v>0.9090816327</v>
      </c>
      <c r="C17" s="2578">
        <f t="shared" si="2"/>
        <v>0.9087907265</v>
      </c>
      <c r="D17" s="2578">
        <f t="shared" si="3"/>
        <v>0.8861727755</v>
      </c>
      <c r="E17" s="2578">
        <f t="shared" si="4"/>
        <v>0.8355369286</v>
      </c>
      <c r="F17" s="2578">
        <f t="shared" si="5"/>
        <v>0.7445378571</v>
      </c>
      <c r="G17" s="2578">
        <f t="shared" si="6"/>
        <v>0.6072665306</v>
      </c>
      <c r="H17" s="2578">
        <f t="shared" si="7"/>
        <v>0.4309046939</v>
      </c>
      <c r="I17" s="2578">
        <f t="shared" si="8"/>
        <v>0.2254522449</v>
      </c>
      <c r="J17" s="2579">
        <f t="shared" si="9"/>
        <v>0.09090816327</v>
      </c>
      <c r="K17" s="720"/>
      <c r="L17" s="720"/>
      <c r="M17" s="720"/>
      <c r="N17" s="720"/>
      <c r="O17" s="720"/>
      <c r="P17" s="720"/>
      <c r="Q17" s="720"/>
      <c r="R17" s="720"/>
      <c r="S17" s="720"/>
      <c r="T17" s="720"/>
      <c r="U17" s="720"/>
      <c r="V17" s="720"/>
      <c r="W17" s="720"/>
      <c r="X17" s="720"/>
      <c r="Y17" s="720"/>
      <c r="Z17" s="720"/>
    </row>
    <row r="18" ht="12.0" customHeight="1">
      <c r="A18" s="2570">
        <v>12.0</v>
      </c>
      <c r="B18" s="2580">
        <f t="shared" si="1"/>
        <v>0.8995918367</v>
      </c>
      <c r="C18" s="2580">
        <f t="shared" si="2"/>
        <v>0.8993039673</v>
      </c>
      <c r="D18" s="2580">
        <f t="shared" si="3"/>
        <v>0.8769221224</v>
      </c>
      <c r="E18" s="2580">
        <f t="shared" si="4"/>
        <v>0.8268148571</v>
      </c>
      <c r="F18" s="2580">
        <f t="shared" si="5"/>
        <v>0.7367657143</v>
      </c>
      <c r="G18" s="2580">
        <f t="shared" si="6"/>
        <v>0.6009273469</v>
      </c>
      <c r="H18" s="2580">
        <f t="shared" si="7"/>
        <v>0.4264065306</v>
      </c>
      <c r="I18" s="2580">
        <f t="shared" si="8"/>
        <v>0.2230987755</v>
      </c>
      <c r="J18" s="2581">
        <f t="shared" si="9"/>
        <v>0.08995918367</v>
      </c>
      <c r="K18" s="720"/>
      <c r="L18" s="720"/>
      <c r="M18" s="720"/>
      <c r="N18" s="720"/>
      <c r="O18" s="720"/>
      <c r="P18" s="720"/>
      <c r="Q18" s="720"/>
      <c r="R18" s="720"/>
      <c r="S18" s="720"/>
      <c r="T18" s="720"/>
      <c r="U18" s="720"/>
      <c r="V18" s="720"/>
      <c r="W18" s="720"/>
      <c r="X18" s="720"/>
      <c r="Y18" s="720"/>
      <c r="Z18" s="720"/>
    </row>
    <row r="19" ht="12.0" customHeight="1">
      <c r="A19" s="2573">
        <v>13.0</v>
      </c>
      <c r="B19" s="2574">
        <f t="shared" si="1"/>
        <v>0.8898979592</v>
      </c>
      <c r="C19" s="2574">
        <f t="shared" si="2"/>
        <v>0.8896131918</v>
      </c>
      <c r="D19" s="2574">
        <f t="shared" si="3"/>
        <v>0.8674725306</v>
      </c>
      <c r="E19" s="2574">
        <f t="shared" si="4"/>
        <v>0.8179052143</v>
      </c>
      <c r="F19" s="2574">
        <f t="shared" si="5"/>
        <v>0.7288264286</v>
      </c>
      <c r="G19" s="2574">
        <f t="shared" si="6"/>
        <v>0.5944518367</v>
      </c>
      <c r="H19" s="2574">
        <f t="shared" si="7"/>
        <v>0.4218116327</v>
      </c>
      <c r="I19" s="2574">
        <f t="shared" si="8"/>
        <v>0.2206946939</v>
      </c>
      <c r="J19" s="2575">
        <f t="shared" si="9"/>
        <v>0.08898979592</v>
      </c>
      <c r="K19" s="2576"/>
      <c r="L19" s="720"/>
      <c r="M19" s="720"/>
      <c r="N19" s="720"/>
      <c r="O19" s="720"/>
      <c r="P19" s="720"/>
      <c r="Q19" s="2576"/>
      <c r="R19" s="2576"/>
      <c r="S19" s="2576"/>
      <c r="T19" s="2576"/>
      <c r="U19" s="2576"/>
      <c r="V19" s="2576"/>
      <c r="W19" s="2576"/>
      <c r="X19" s="2576"/>
      <c r="Y19" s="2576"/>
      <c r="Z19" s="2576"/>
    </row>
    <row r="20" ht="12.0" customHeight="1">
      <c r="A20" s="2577">
        <v>14.0</v>
      </c>
      <c r="B20" s="2578">
        <f t="shared" si="1"/>
        <v>0.88</v>
      </c>
      <c r="C20" s="2578">
        <f t="shared" si="2"/>
        <v>0.8797184</v>
      </c>
      <c r="D20" s="2578">
        <f t="shared" si="3"/>
        <v>0.857824</v>
      </c>
      <c r="E20" s="2578">
        <f t="shared" si="4"/>
        <v>0.808808</v>
      </c>
      <c r="F20" s="2578">
        <f t="shared" si="5"/>
        <v>0.72072</v>
      </c>
      <c r="G20" s="2578">
        <f t="shared" si="6"/>
        <v>0.58784</v>
      </c>
      <c r="H20" s="2578">
        <f t="shared" si="7"/>
        <v>0.41712</v>
      </c>
      <c r="I20" s="2578">
        <f t="shared" si="8"/>
        <v>0.21824</v>
      </c>
      <c r="J20" s="2579">
        <f t="shared" si="9"/>
        <v>0.088</v>
      </c>
      <c r="K20" s="720"/>
      <c r="L20" s="720"/>
      <c r="M20" s="720"/>
      <c r="N20" s="720"/>
      <c r="O20" s="720"/>
      <c r="P20" s="720"/>
      <c r="Q20" s="720"/>
      <c r="R20" s="720"/>
      <c r="S20" s="720"/>
      <c r="T20" s="720"/>
      <c r="U20" s="720"/>
      <c r="V20" s="720"/>
      <c r="W20" s="720"/>
      <c r="X20" s="720"/>
      <c r="Y20" s="720"/>
      <c r="Z20" s="720"/>
    </row>
    <row r="21" ht="12.0" customHeight="1">
      <c r="A21" s="2570">
        <v>15.0</v>
      </c>
      <c r="B21" s="2580">
        <f t="shared" si="1"/>
        <v>0.8698979592</v>
      </c>
      <c r="C21" s="2580">
        <f t="shared" si="2"/>
        <v>0.8696195918</v>
      </c>
      <c r="D21" s="2580">
        <f t="shared" si="3"/>
        <v>0.8479765306</v>
      </c>
      <c r="E21" s="2580">
        <f t="shared" si="4"/>
        <v>0.7995232143</v>
      </c>
      <c r="F21" s="2580">
        <f t="shared" si="5"/>
        <v>0.7124464286</v>
      </c>
      <c r="G21" s="2580">
        <f t="shared" si="6"/>
        <v>0.5810918367</v>
      </c>
      <c r="H21" s="2580">
        <f t="shared" si="7"/>
        <v>0.4123316327</v>
      </c>
      <c r="I21" s="2580">
        <f t="shared" si="8"/>
        <v>0.2157346939</v>
      </c>
      <c r="J21" s="2581">
        <f t="shared" si="9"/>
        <v>0.08698979592</v>
      </c>
      <c r="K21" s="720"/>
      <c r="L21" s="720"/>
      <c r="M21" s="720"/>
      <c r="N21" s="720"/>
      <c r="O21" s="720"/>
      <c r="P21" s="720"/>
      <c r="Q21" s="720"/>
      <c r="R21" s="720"/>
      <c r="S21" s="720"/>
      <c r="T21" s="720"/>
      <c r="U21" s="720"/>
      <c r="V21" s="720"/>
      <c r="W21" s="720"/>
      <c r="X21" s="720"/>
      <c r="Y21" s="720"/>
      <c r="Z21" s="720"/>
    </row>
    <row r="22" ht="12.0" customHeight="1">
      <c r="A22" s="2573">
        <v>16.0</v>
      </c>
      <c r="B22" s="2574">
        <f t="shared" si="1"/>
        <v>0.8595918367</v>
      </c>
      <c r="C22" s="2574">
        <f t="shared" si="2"/>
        <v>0.8593167673</v>
      </c>
      <c r="D22" s="2574">
        <f t="shared" si="3"/>
        <v>0.8379301224</v>
      </c>
      <c r="E22" s="2574">
        <f t="shared" si="4"/>
        <v>0.7900508571</v>
      </c>
      <c r="F22" s="2574">
        <f t="shared" si="5"/>
        <v>0.7040057143</v>
      </c>
      <c r="G22" s="2574">
        <f t="shared" si="6"/>
        <v>0.5742073469</v>
      </c>
      <c r="H22" s="2574">
        <f t="shared" si="7"/>
        <v>0.4074465306</v>
      </c>
      <c r="I22" s="2574">
        <f t="shared" si="8"/>
        <v>0.2131787755</v>
      </c>
      <c r="J22" s="2575">
        <f t="shared" si="9"/>
        <v>0.08595918367</v>
      </c>
      <c r="K22" s="2576"/>
      <c r="L22" s="720"/>
      <c r="M22" s="720"/>
      <c r="N22" s="720"/>
      <c r="O22" s="720"/>
      <c r="P22" s="720"/>
      <c r="Q22" s="2576"/>
      <c r="R22" s="2576"/>
      <c r="S22" s="2576"/>
      <c r="T22" s="2576"/>
      <c r="U22" s="2576"/>
      <c r="V22" s="2576"/>
      <c r="W22" s="2576"/>
      <c r="X22" s="2576"/>
      <c r="Y22" s="2576"/>
      <c r="Z22" s="2576"/>
    </row>
    <row r="23" ht="12.0" customHeight="1">
      <c r="A23" s="2577">
        <v>17.0</v>
      </c>
      <c r="B23" s="2578">
        <f t="shared" si="1"/>
        <v>0.8490816327</v>
      </c>
      <c r="C23" s="2578">
        <f t="shared" si="2"/>
        <v>0.8488099265</v>
      </c>
      <c r="D23" s="2578">
        <f t="shared" si="3"/>
        <v>0.8276847755</v>
      </c>
      <c r="E23" s="2578">
        <f t="shared" si="4"/>
        <v>0.7803909286</v>
      </c>
      <c r="F23" s="2578">
        <f t="shared" si="5"/>
        <v>0.6953978571</v>
      </c>
      <c r="G23" s="2578">
        <f t="shared" si="6"/>
        <v>0.5671865306</v>
      </c>
      <c r="H23" s="2578">
        <f t="shared" si="7"/>
        <v>0.4024646939</v>
      </c>
      <c r="I23" s="2578">
        <f t="shared" si="8"/>
        <v>0.2105722449</v>
      </c>
      <c r="J23" s="2579">
        <f t="shared" si="9"/>
        <v>0.08490816327</v>
      </c>
      <c r="K23" s="720"/>
      <c r="L23" s="720"/>
      <c r="M23" s="720"/>
      <c r="N23" s="720"/>
      <c r="O23" s="720"/>
      <c r="P23" s="720"/>
      <c r="Q23" s="720"/>
      <c r="R23" s="720"/>
      <c r="S23" s="720"/>
      <c r="T23" s="720"/>
      <c r="U23" s="720"/>
      <c r="V23" s="720"/>
      <c r="W23" s="720"/>
      <c r="X23" s="720"/>
      <c r="Y23" s="720"/>
      <c r="Z23" s="720"/>
    </row>
    <row r="24" ht="12.0" customHeight="1">
      <c r="A24" s="2570">
        <v>18.0</v>
      </c>
      <c r="B24" s="2580">
        <f t="shared" si="1"/>
        <v>0.8383673469</v>
      </c>
      <c r="C24" s="2580">
        <f t="shared" si="2"/>
        <v>0.8380990694</v>
      </c>
      <c r="D24" s="2580">
        <f t="shared" si="3"/>
        <v>0.8172404898</v>
      </c>
      <c r="E24" s="2580">
        <f t="shared" si="4"/>
        <v>0.7705434286</v>
      </c>
      <c r="F24" s="2580">
        <f t="shared" si="5"/>
        <v>0.6866228571</v>
      </c>
      <c r="G24" s="2580">
        <f t="shared" si="6"/>
        <v>0.5600293878</v>
      </c>
      <c r="H24" s="2580">
        <f t="shared" si="7"/>
        <v>0.3973861224</v>
      </c>
      <c r="I24" s="2580">
        <f t="shared" si="8"/>
        <v>0.207915102</v>
      </c>
      <c r="J24" s="2581">
        <f t="shared" si="9"/>
        <v>0.08383673469</v>
      </c>
      <c r="K24" s="720"/>
      <c r="L24" s="720"/>
      <c r="M24" s="720"/>
      <c r="N24" s="720"/>
      <c r="O24" s="720"/>
      <c r="P24" s="720"/>
      <c r="Q24" s="720"/>
      <c r="R24" s="720"/>
      <c r="S24" s="720"/>
      <c r="T24" s="720"/>
      <c r="U24" s="720"/>
      <c r="V24" s="720"/>
      <c r="W24" s="720"/>
      <c r="X24" s="720"/>
      <c r="Y24" s="720"/>
      <c r="Z24" s="720"/>
    </row>
    <row r="25" ht="12.0" customHeight="1">
      <c r="A25" s="2573">
        <v>19.0</v>
      </c>
      <c r="B25" s="2574">
        <f t="shared" si="1"/>
        <v>0.8274489796</v>
      </c>
      <c r="C25" s="2574">
        <f t="shared" si="2"/>
        <v>0.8271841959</v>
      </c>
      <c r="D25" s="2574">
        <f t="shared" si="3"/>
        <v>0.8065972653</v>
      </c>
      <c r="E25" s="2574">
        <f t="shared" si="4"/>
        <v>0.7605083571</v>
      </c>
      <c r="F25" s="2574">
        <f t="shared" si="5"/>
        <v>0.6776807143</v>
      </c>
      <c r="G25" s="2574">
        <f t="shared" si="6"/>
        <v>0.5527359184</v>
      </c>
      <c r="H25" s="2574">
        <f t="shared" si="7"/>
        <v>0.3922108163</v>
      </c>
      <c r="I25" s="2574">
        <f t="shared" si="8"/>
        <v>0.2052073469</v>
      </c>
      <c r="J25" s="2575">
        <f t="shared" si="9"/>
        <v>0.08274489796</v>
      </c>
      <c r="K25" s="2576"/>
      <c r="L25" s="720"/>
      <c r="M25" s="720"/>
      <c r="N25" s="720"/>
      <c r="O25" s="720"/>
      <c r="P25" s="720"/>
      <c r="Q25" s="2576"/>
      <c r="R25" s="2576"/>
      <c r="S25" s="2576"/>
      <c r="T25" s="2576"/>
      <c r="U25" s="2576"/>
      <c r="V25" s="2576"/>
      <c r="W25" s="2576"/>
      <c r="X25" s="2576"/>
      <c r="Y25" s="2576"/>
      <c r="Z25" s="2576"/>
    </row>
    <row r="26" ht="12.0" customHeight="1">
      <c r="A26" s="2577">
        <v>20.0</v>
      </c>
      <c r="B26" s="2578">
        <f t="shared" si="1"/>
        <v>0.8163265306</v>
      </c>
      <c r="C26" s="2578">
        <f t="shared" si="2"/>
        <v>0.8160653061</v>
      </c>
      <c r="D26" s="2578">
        <f t="shared" si="3"/>
        <v>0.795755102</v>
      </c>
      <c r="E26" s="2578">
        <f t="shared" si="4"/>
        <v>0.7502857143</v>
      </c>
      <c r="F26" s="2578">
        <f t="shared" si="5"/>
        <v>0.6685714286</v>
      </c>
      <c r="G26" s="2578">
        <f t="shared" si="6"/>
        <v>0.5453061224</v>
      </c>
      <c r="H26" s="2578">
        <f t="shared" si="7"/>
        <v>0.3869387755</v>
      </c>
      <c r="I26" s="2578">
        <f t="shared" si="8"/>
        <v>0.2024489796</v>
      </c>
      <c r="J26" s="2579">
        <f t="shared" si="9"/>
        <v>0.08163265306</v>
      </c>
      <c r="K26" s="720"/>
      <c r="L26" s="720"/>
      <c r="M26" s="720"/>
      <c r="N26" s="720"/>
      <c r="O26" s="720"/>
      <c r="P26" s="720"/>
      <c r="Q26" s="720"/>
      <c r="R26" s="720"/>
      <c r="S26" s="720"/>
      <c r="T26" s="720"/>
      <c r="U26" s="720"/>
      <c r="V26" s="720"/>
      <c r="W26" s="720"/>
      <c r="X26" s="720"/>
      <c r="Y26" s="720"/>
      <c r="Z26" s="720"/>
    </row>
    <row r="27" ht="12.0" customHeight="1">
      <c r="A27" s="2570">
        <v>21.0</v>
      </c>
      <c r="B27" s="2580">
        <f t="shared" si="1"/>
        <v>0.805</v>
      </c>
      <c r="C27" s="2580">
        <f t="shared" si="2"/>
        <v>0.8047424</v>
      </c>
      <c r="D27" s="2580">
        <f t="shared" si="3"/>
        <v>0.784714</v>
      </c>
      <c r="E27" s="2580">
        <f t="shared" si="4"/>
        <v>0.7398755</v>
      </c>
      <c r="F27" s="2580">
        <f t="shared" si="5"/>
        <v>0.659295</v>
      </c>
      <c r="G27" s="2580">
        <f t="shared" si="6"/>
        <v>0.53774</v>
      </c>
      <c r="H27" s="2580">
        <f t="shared" si="7"/>
        <v>0.38157</v>
      </c>
      <c r="I27" s="2580">
        <f t="shared" si="8"/>
        <v>0.19964</v>
      </c>
      <c r="J27" s="2581">
        <f t="shared" si="9"/>
        <v>0.0805</v>
      </c>
      <c r="K27" s="720"/>
      <c r="L27" s="720"/>
      <c r="M27" s="720"/>
      <c r="N27" s="720"/>
      <c r="O27" s="720"/>
      <c r="P27" s="720"/>
      <c r="Q27" s="720"/>
      <c r="R27" s="720"/>
      <c r="S27" s="720"/>
      <c r="T27" s="720"/>
      <c r="U27" s="720"/>
      <c r="V27" s="720"/>
      <c r="W27" s="720"/>
      <c r="X27" s="720"/>
      <c r="Y27" s="720"/>
      <c r="Z27" s="720"/>
    </row>
    <row r="28" ht="12.0" customHeight="1">
      <c r="A28" s="2573">
        <v>22.0</v>
      </c>
      <c r="B28" s="2574">
        <f t="shared" si="1"/>
        <v>0.7934693878</v>
      </c>
      <c r="C28" s="2574">
        <f t="shared" si="2"/>
        <v>0.7932154776</v>
      </c>
      <c r="D28" s="2574">
        <f t="shared" si="3"/>
        <v>0.7734739592</v>
      </c>
      <c r="E28" s="2574">
        <f t="shared" si="4"/>
        <v>0.7292777143</v>
      </c>
      <c r="F28" s="2574">
        <f t="shared" si="5"/>
        <v>0.6498514286</v>
      </c>
      <c r="G28" s="2574">
        <f t="shared" si="6"/>
        <v>0.530037551</v>
      </c>
      <c r="H28" s="2574">
        <f t="shared" si="7"/>
        <v>0.3761044898</v>
      </c>
      <c r="I28" s="2574">
        <f t="shared" si="8"/>
        <v>0.1967804082</v>
      </c>
      <c r="J28" s="2575">
        <f t="shared" si="9"/>
        <v>0.07934693878</v>
      </c>
      <c r="K28" s="2576"/>
      <c r="L28" s="720"/>
      <c r="M28" s="720"/>
      <c r="N28" s="720"/>
      <c r="O28" s="720"/>
      <c r="P28" s="720"/>
      <c r="Q28" s="2576"/>
      <c r="R28" s="2576"/>
      <c r="S28" s="2576"/>
      <c r="T28" s="2576"/>
      <c r="U28" s="2576"/>
      <c r="V28" s="2576"/>
      <c r="W28" s="2576"/>
      <c r="X28" s="2576"/>
      <c r="Y28" s="2576"/>
      <c r="Z28" s="2576"/>
    </row>
    <row r="29" ht="12.0" customHeight="1">
      <c r="A29" s="2577">
        <v>23.0</v>
      </c>
      <c r="B29" s="2578">
        <f t="shared" si="1"/>
        <v>0.7817346939</v>
      </c>
      <c r="C29" s="2578">
        <f t="shared" si="2"/>
        <v>0.7814845388</v>
      </c>
      <c r="D29" s="2578">
        <f t="shared" si="3"/>
        <v>0.7620349796</v>
      </c>
      <c r="E29" s="2578">
        <f t="shared" si="4"/>
        <v>0.7184923571</v>
      </c>
      <c r="F29" s="2578">
        <f t="shared" si="5"/>
        <v>0.6402407143</v>
      </c>
      <c r="G29" s="2578">
        <f t="shared" si="6"/>
        <v>0.5221987755</v>
      </c>
      <c r="H29" s="2578">
        <f t="shared" si="7"/>
        <v>0.3705422449</v>
      </c>
      <c r="I29" s="2578">
        <f t="shared" si="8"/>
        <v>0.1938702041</v>
      </c>
      <c r="J29" s="2579">
        <f t="shared" si="9"/>
        <v>0.07817346939</v>
      </c>
      <c r="K29" s="720"/>
      <c r="L29" s="720"/>
      <c r="M29" s="720"/>
      <c r="N29" s="720"/>
      <c r="O29" s="720"/>
      <c r="P29" s="720"/>
      <c r="Q29" s="720"/>
      <c r="R29" s="720"/>
      <c r="S29" s="720"/>
      <c r="T29" s="720"/>
      <c r="U29" s="720"/>
      <c r="V29" s="720"/>
      <c r="W29" s="720"/>
      <c r="X29" s="720"/>
      <c r="Y29" s="720"/>
      <c r="Z29" s="720"/>
    </row>
    <row r="30" ht="12.0" customHeight="1">
      <c r="A30" s="2570">
        <v>24.0</v>
      </c>
      <c r="B30" s="2580">
        <f t="shared" si="1"/>
        <v>0.7697959184</v>
      </c>
      <c r="C30" s="2580">
        <f t="shared" si="2"/>
        <v>0.7695495837</v>
      </c>
      <c r="D30" s="2580">
        <f t="shared" si="3"/>
        <v>0.7503970612</v>
      </c>
      <c r="E30" s="2580">
        <f t="shared" si="4"/>
        <v>0.7075194286</v>
      </c>
      <c r="F30" s="2580">
        <f t="shared" si="5"/>
        <v>0.6304628571</v>
      </c>
      <c r="G30" s="2580">
        <f t="shared" si="6"/>
        <v>0.5142236735</v>
      </c>
      <c r="H30" s="2580">
        <f t="shared" si="7"/>
        <v>0.3648832653</v>
      </c>
      <c r="I30" s="2580">
        <f t="shared" si="8"/>
        <v>0.1909093878</v>
      </c>
      <c r="J30" s="2581">
        <f t="shared" si="9"/>
        <v>0.07697959184</v>
      </c>
      <c r="K30" s="720"/>
      <c r="L30" s="720"/>
      <c r="M30" s="720"/>
      <c r="N30" s="720"/>
      <c r="O30" s="720"/>
      <c r="P30" s="720"/>
      <c r="Q30" s="720"/>
      <c r="R30" s="720"/>
      <c r="S30" s="720"/>
      <c r="T30" s="720"/>
      <c r="U30" s="720"/>
      <c r="V30" s="720"/>
      <c r="W30" s="720"/>
      <c r="X30" s="720"/>
      <c r="Y30" s="720"/>
      <c r="Z30" s="720"/>
    </row>
    <row r="31" ht="12.0" customHeight="1">
      <c r="A31" s="2573">
        <v>25.0</v>
      </c>
      <c r="B31" s="2574">
        <f t="shared" si="1"/>
        <v>0.7576530612</v>
      </c>
      <c r="C31" s="2574">
        <f t="shared" si="2"/>
        <v>0.7574106122</v>
      </c>
      <c r="D31" s="2574">
        <f t="shared" si="3"/>
        <v>0.7385602041</v>
      </c>
      <c r="E31" s="2574">
        <f t="shared" si="4"/>
        <v>0.6963589286</v>
      </c>
      <c r="F31" s="2574">
        <f t="shared" si="5"/>
        <v>0.6205178571</v>
      </c>
      <c r="G31" s="2574">
        <f t="shared" si="6"/>
        <v>0.5061122449</v>
      </c>
      <c r="H31" s="2574">
        <f t="shared" si="7"/>
        <v>0.359127551</v>
      </c>
      <c r="I31" s="2574">
        <f t="shared" si="8"/>
        <v>0.1878979592</v>
      </c>
      <c r="J31" s="2575">
        <f t="shared" si="9"/>
        <v>0.07576530612</v>
      </c>
      <c r="K31" s="2576"/>
      <c r="L31" s="720"/>
      <c r="M31" s="720"/>
      <c r="N31" s="720"/>
      <c r="O31" s="720"/>
      <c r="P31" s="720"/>
      <c r="Q31" s="2576"/>
      <c r="R31" s="2576"/>
      <c r="S31" s="2576"/>
      <c r="T31" s="2576"/>
      <c r="U31" s="2576"/>
      <c r="V31" s="2576"/>
      <c r="W31" s="2576"/>
      <c r="X31" s="2576"/>
      <c r="Y31" s="2576"/>
      <c r="Z31" s="2576"/>
    </row>
    <row r="32" ht="12.0" customHeight="1">
      <c r="A32" s="2577">
        <v>26.0</v>
      </c>
      <c r="B32" s="2578">
        <f t="shared" si="1"/>
        <v>0.7453061224</v>
      </c>
      <c r="C32" s="2578">
        <f t="shared" si="2"/>
        <v>0.7450676245</v>
      </c>
      <c r="D32" s="2578">
        <f t="shared" si="3"/>
        <v>0.7265244082</v>
      </c>
      <c r="E32" s="2578">
        <f t="shared" si="4"/>
        <v>0.6850108571</v>
      </c>
      <c r="F32" s="2578">
        <f t="shared" si="5"/>
        <v>0.6104057143</v>
      </c>
      <c r="G32" s="2578">
        <f t="shared" si="6"/>
        <v>0.4978644898</v>
      </c>
      <c r="H32" s="2578">
        <f t="shared" si="7"/>
        <v>0.353275102</v>
      </c>
      <c r="I32" s="2578">
        <f t="shared" si="8"/>
        <v>0.1848359184</v>
      </c>
      <c r="J32" s="2579">
        <f t="shared" si="9"/>
        <v>0.07453061224</v>
      </c>
      <c r="K32" s="720"/>
      <c r="L32" s="720"/>
      <c r="M32" s="720"/>
      <c r="N32" s="720"/>
      <c r="O32" s="720"/>
      <c r="P32" s="720"/>
      <c r="Q32" s="720"/>
      <c r="R32" s="720"/>
      <c r="S32" s="720"/>
      <c r="T32" s="720"/>
      <c r="U32" s="720"/>
      <c r="V32" s="720"/>
      <c r="W32" s="720"/>
      <c r="X32" s="720"/>
      <c r="Y32" s="720"/>
      <c r="Z32" s="720"/>
    </row>
    <row r="33" ht="12.0" customHeight="1">
      <c r="A33" s="2570">
        <v>27.0</v>
      </c>
      <c r="B33" s="2580">
        <f t="shared" si="1"/>
        <v>0.732755102</v>
      </c>
      <c r="C33" s="2580">
        <f t="shared" si="2"/>
        <v>0.7325206204</v>
      </c>
      <c r="D33" s="2580">
        <f t="shared" si="3"/>
        <v>0.7142896735</v>
      </c>
      <c r="E33" s="2580">
        <f t="shared" si="4"/>
        <v>0.6734752143</v>
      </c>
      <c r="F33" s="2580">
        <f t="shared" si="5"/>
        <v>0.6001264286</v>
      </c>
      <c r="G33" s="2580">
        <f t="shared" si="6"/>
        <v>0.4894804082</v>
      </c>
      <c r="H33" s="2580">
        <f t="shared" si="7"/>
        <v>0.3473259184</v>
      </c>
      <c r="I33" s="2580">
        <f t="shared" si="8"/>
        <v>0.1817232653</v>
      </c>
      <c r="J33" s="2581">
        <f t="shared" si="9"/>
        <v>0.0732755102</v>
      </c>
      <c r="K33" s="720"/>
      <c r="L33" s="720"/>
      <c r="M33" s="720"/>
      <c r="N33" s="720"/>
      <c r="O33" s="720"/>
      <c r="P33" s="720"/>
      <c r="Q33" s="720"/>
      <c r="R33" s="720"/>
      <c r="S33" s="720"/>
      <c r="T33" s="720"/>
      <c r="U33" s="720"/>
      <c r="V33" s="720"/>
      <c r="W33" s="720"/>
      <c r="X33" s="720"/>
      <c r="Y33" s="720"/>
      <c r="Z33" s="720"/>
    </row>
    <row r="34" ht="12.0" customHeight="1">
      <c r="A34" s="2573">
        <v>28.0</v>
      </c>
      <c r="B34" s="2574">
        <f t="shared" si="1"/>
        <v>0.72</v>
      </c>
      <c r="C34" s="2574">
        <f t="shared" si="2"/>
        <v>0.7197696</v>
      </c>
      <c r="D34" s="2574">
        <f t="shared" si="3"/>
        <v>0.701856</v>
      </c>
      <c r="E34" s="2574">
        <f t="shared" si="4"/>
        <v>0.661752</v>
      </c>
      <c r="F34" s="2574">
        <f t="shared" si="5"/>
        <v>0.58968</v>
      </c>
      <c r="G34" s="2574">
        <f t="shared" si="6"/>
        <v>0.48096</v>
      </c>
      <c r="H34" s="2574">
        <f t="shared" si="7"/>
        <v>0.34128</v>
      </c>
      <c r="I34" s="2574">
        <f t="shared" si="8"/>
        <v>0.17856</v>
      </c>
      <c r="J34" s="2575">
        <f t="shared" si="9"/>
        <v>0.072</v>
      </c>
      <c r="K34" s="2576"/>
      <c r="L34" s="720"/>
      <c r="M34" s="720"/>
      <c r="N34" s="720"/>
      <c r="O34" s="720"/>
      <c r="P34" s="720"/>
      <c r="Q34" s="2576"/>
      <c r="R34" s="2576"/>
      <c r="S34" s="2576"/>
      <c r="T34" s="2576"/>
      <c r="U34" s="2576"/>
      <c r="V34" s="2576"/>
      <c r="W34" s="2576"/>
      <c r="X34" s="2576"/>
      <c r="Y34" s="2576"/>
      <c r="Z34" s="2576"/>
    </row>
    <row r="35" ht="12.0" customHeight="1">
      <c r="A35" s="2577">
        <v>29.0</v>
      </c>
      <c r="B35" s="2578">
        <f t="shared" si="1"/>
        <v>0.7070408163</v>
      </c>
      <c r="C35" s="2578">
        <f t="shared" si="2"/>
        <v>0.7068145633</v>
      </c>
      <c r="D35" s="2578">
        <f t="shared" si="3"/>
        <v>0.6892233878</v>
      </c>
      <c r="E35" s="2578">
        <f t="shared" si="4"/>
        <v>0.6498412143</v>
      </c>
      <c r="F35" s="2578">
        <f t="shared" si="5"/>
        <v>0.5790664286</v>
      </c>
      <c r="G35" s="2578">
        <f t="shared" si="6"/>
        <v>0.4723032653</v>
      </c>
      <c r="H35" s="2578">
        <f t="shared" si="7"/>
        <v>0.3351373469</v>
      </c>
      <c r="I35" s="2578">
        <f t="shared" si="8"/>
        <v>0.1753461224</v>
      </c>
      <c r="J35" s="2579">
        <f t="shared" si="9"/>
        <v>0.07070408163</v>
      </c>
      <c r="K35" s="720"/>
      <c r="L35" s="720"/>
      <c r="M35" s="720"/>
      <c r="N35" s="720"/>
      <c r="O35" s="720"/>
      <c r="P35" s="720"/>
      <c r="Q35" s="720"/>
      <c r="R35" s="720"/>
      <c r="S35" s="720"/>
      <c r="T35" s="720"/>
      <c r="U35" s="720"/>
      <c r="V35" s="720"/>
      <c r="W35" s="720"/>
      <c r="X35" s="720"/>
      <c r="Y35" s="720"/>
      <c r="Z35" s="720"/>
    </row>
    <row r="36" ht="12.0" customHeight="1">
      <c r="A36" s="2570">
        <v>30.0</v>
      </c>
      <c r="B36" s="2580">
        <f t="shared" si="1"/>
        <v>0.693877551</v>
      </c>
      <c r="C36" s="2580">
        <f t="shared" si="2"/>
        <v>0.6936555102</v>
      </c>
      <c r="D36" s="2580">
        <f t="shared" si="3"/>
        <v>0.6763918367</v>
      </c>
      <c r="E36" s="2580">
        <f t="shared" si="4"/>
        <v>0.6377428571</v>
      </c>
      <c r="F36" s="2580">
        <f t="shared" si="5"/>
        <v>0.5682857143</v>
      </c>
      <c r="G36" s="2580">
        <f t="shared" si="6"/>
        <v>0.4635102041</v>
      </c>
      <c r="H36" s="2580">
        <f t="shared" si="7"/>
        <v>0.3288979592</v>
      </c>
      <c r="I36" s="2580">
        <f t="shared" si="8"/>
        <v>0.1720816327</v>
      </c>
      <c r="J36" s="2581">
        <f t="shared" si="9"/>
        <v>0.0693877551</v>
      </c>
      <c r="K36" s="720"/>
      <c r="L36" s="720"/>
      <c r="M36" s="720"/>
      <c r="N36" s="720"/>
      <c r="O36" s="720"/>
      <c r="P36" s="720"/>
      <c r="Q36" s="720"/>
      <c r="R36" s="720"/>
      <c r="S36" s="720"/>
      <c r="T36" s="720"/>
      <c r="U36" s="720"/>
      <c r="V36" s="720"/>
      <c r="W36" s="720"/>
      <c r="X36" s="720"/>
      <c r="Y36" s="720"/>
      <c r="Z36" s="720"/>
    </row>
    <row r="37" ht="12.0" customHeight="1">
      <c r="A37" s="2573">
        <v>31.0</v>
      </c>
      <c r="B37" s="2574">
        <f t="shared" si="1"/>
        <v>0.6805102041</v>
      </c>
      <c r="C37" s="2574">
        <f t="shared" si="2"/>
        <v>0.6802924408</v>
      </c>
      <c r="D37" s="2574">
        <f t="shared" si="3"/>
        <v>0.6633613469</v>
      </c>
      <c r="E37" s="2574">
        <f t="shared" si="4"/>
        <v>0.6254569286</v>
      </c>
      <c r="F37" s="2574">
        <f t="shared" si="5"/>
        <v>0.5573378571</v>
      </c>
      <c r="G37" s="2574">
        <f t="shared" si="6"/>
        <v>0.4545808163</v>
      </c>
      <c r="H37" s="2574">
        <f t="shared" si="7"/>
        <v>0.3225618367</v>
      </c>
      <c r="I37" s="2574">
        <f t="shared" si="8"/>
        <v>0.1687665306</v>
      </c>
      <c r="J37" s="2575">
        <f t="shared" si="9"/>
        <v>0.06805102041</v>
      </c>
      <c r="K37" s="2576"/>
      <c r="L37" s="720"/>
      <c r="M37" s="720"/>
      <c r="N37" s="720"/>
      <c r="O37" s="720"/>
      <c r="P37" s="720"/>
      <c r="Q37" s="2576"/>
      <c r="R37" s="2576"/>
      <c r="S37" s="2576"/>
      <c r="T37" s="2576"/>
      <c r="U37" s="2576"/>
      <c r="V37" s="2576"/>
      <c r="W37" s="2576"/>
      <c r="X37" s="2576"/>
      <c r="Y37" s="2576"/>
      <c r="Z37" s="2576"/>
    </row>
    <row r="38" ht="12.0" customHeight="1">
      <c r="A38" s="2577">
        <v>32.0</v>
      </c>
      <c r="B38" s="2578">
        <f t="shared" si="1"/>
        <v>0.6669387755</v>
      </c>
      <c r="C38" s="2578">
        <f t="shared" si="2"/>
        <v>0.6667253551</v>
      </c>
      <c r="D38" s="2578">
        <f t="shared" si="3"/>
        <v>0.6501319184</v>
      </c>
      <c r="E38" s="2578">
        <f t="shared" si="4"/>
        <v>0.6129834286</v>
      </c>
      <c r="F38" s="2578">
        <f t="shared" si="5"/>
        <v>0.5462228571</v>
      </c>
      <c r="G38" s="2578">
        <f t="shared" si="6"/>
        <v>0.445515102</v>
      </c>
      <c r="H38" s="2578">
        <f t="shared" si="7"/>
        <v>0.3161289796</v>
      </c>
      <c r="I38" s="2578">
        <f t="shared" si="8"/>
        <v>0.1654008163</v>
      </c>
      <c r="J38" s="2579">
        <f t="shared" si="9"/>
        <v>0.06669387755</v>
      </c>
      <c r="K38" s="720"/>
      <c r="L38" s="720"/>
      <c r="M38" s="720"/>
      <c r="N38" s="720"/>
      <c r="O38" s="720"/>
      <c r="P38" s="720"/>
      <c r="Q38" s="720"/>
      <c r="R38" s="720"/>
      <c r="S38" s="720"/>
      <c r="T38" s="720"/>
      <c r="U38" s="720"/>
      <c r="V38" s="720"/>
      <c r="W38" s="720"/>
      <c r="X38" s="720"/>
      <c r="Y38" s="720"/>
      <c r="Z38" s="720"/>
    </row>
    <row r="39" ht="12.0" customHeight="1">
      <c r="A39" s="2570">
        <v>33.0</v>
      </c>
      <c r="B39" s="2580">
        <f t="shared" si="1"/>
        <v>0.6531632653</v>
      </c>
      <c r="C39" s="2580">
        <f t="shared" si="2"/>
        <v>0.6529542531</v>
      </c>
      <c r="D39" s="2580">
        <f t="shared" si="3"/>
        <v>0.636703551</v>
      </c>
      <c r="E39" s="2580">
        <f t="shared" si="4"/>
        <v>0.6003223571</v>
      </c>
      <c r="F39" s="2580">
        <f t="shared" si="5"/>
        <v>0.5349407143</v>
      </c>
      <c r="G39" s="2580">
        <f t="shared" si="6"/>
        <v>0.4363130612</v>
      </c>
      <c r="H39" s="2580">
        <f t="shared" si="7"/>
        <v>0.3095993878</v>
      </c>
      <c r="I39" s="2580">
        <f t="shared" si="8"/>
        <v>0.1619844898</v>
      </c>
      <c r="J39" s="2581">
        <f t="shared" si="9"/>
        <v>0.06531632653</v>
      </c>
      <c r="K39" s="720"/>
      <c r="L39" s="720"/>
      <c r="M39" s="720"/>
      <c r="N39" s="720"/>
      <c r="O39" s="720"/>
      <c r="P39" s="720"/>
      <c r="Q39" s="720"/>
      <c r="R39" s="720"/>
      <c r="S39" s="720"/>
      <c r="T39" s="720"/>
      <c r="U39" s="720"/>
      <c r="V39" s="720"/>
      <c r="W39" s="720"/>
      <c r="X39" s="720"/>
      <c r="Y39" s="720"/>
      <c r="Z39" s="720"/>
    </row>
    <row r="40" ht="12.0" customHeight="1">
      <c r="A40" s="2573">
        <v>34.0</v>
      </c>
      <c r="B40" s="2574">
        <f t="shared" si="1"/>
        <v>0.6391836735</v>
      </c>
      <c r="C40" s="2574">
        <f t="shared" si="2"/>
        <v>0.6389791347</v>
      </c>
      <c r="D40" s="2574">
        <f t="shared" si="3"/>
        <v>0.6230762449</v>
      </c>
      <c r="E40" s="2574">
        <f t="shared" si="4"/>
        <v>0.5874737143</v>
      </c>
      <c r="F40" s="2574">
        <f t="shared" si="5"/>
        <v>0.5234914286</v>
      </c>
      <c r="G40" s="2574">
        <f t="shared" si="6"/>
        <v>0.4269746939</v>
      </c>
      <c r="H40" s="2574">
        <f t="shared" si="7"/>
        <v>0.3029730612</v>
      </c>
      <c r="I40" s="2574">
        <f t="shared" si="8"/>
        <v>0.158517551</v>
      </c>
      <c r="J40" s="2575">
        <f t="shared" si="9"/>
        <v>0.06391836735</v>
      </c>
      <c r="K40" s="2576"/>
      <c r="L40" s="720"/>
      <c r="M40" s="720"/>
      <c r="N40" s="720"/>
      <c r="O40" s="720"/>
      <c r="P40" s="720"/>
      <c r="Q40" s="2576"/>
      <c r="R40" s="2576"/>
      <c r="S40" s="2576"/>
      <c r="T40" s="2576"/>
      <c r="U40" s="2576"/>
      <c r="V40" s="2576"/>
      <c r="W40" s="2576"/>
      <c r="X40" s="2576"/>
      <c r="Y40" s="2576"/>
      <c r="Z40" s="2576"/>
    </row>
    <row r="41" ht="12.0" customHeight="1">
      <c r="A41" s="2577">
        <v>35.0</v>
      </c>
      <c r="B41" s="2578">
        <f t="shared" si="1"/>
        <v>0.625</v>
      </c>
      <c r="C41" s="2578">
        <f t="shared" si="2"/>
        <v>0.6248</v>
      </c>
      <c r="D41" s="2578">
        <f t="shared" si="3"/>
        <v>0.60925</v>
      </c>
      <c r="E41" s="2578">
        <f t="shared" si="4"/>
        <v>0.5744375</v>
      </c>
      <c r="F41" s="2578">
        <f t="shared" si="5"/>
        <v>0.511875</v>
      </c>
      <c r="G41" s="2578">
        <f t="shared" si="6"/>
        <v>0.4175</v>
      </c>
      <c r="H41" s="2578">
        <f t="shared" si="7"/>
        <v>0.29625</v>
      </c>
      <c r="I41" s="2578">
        <f t="shared" si="8"/>
        <v>0.155</v>
      </c>
      <c r="J41" s="2579">
        <f t="shared" si="9"/>
        <v>0.0625</v>
      </c>
      <c r="K41" s="720"/>
      <c r="L41" s="720"/>
      <c r="M41" s="720"/>
      <c r="N41" s="720"/>
      <c r="O41" s="720"/>
      <c r="P41" s="720"/>
      <c r="Q41" s="720"/>
      <c r="R41" s="720"/>
      <c r="S41" s="720"/>
      <c r="T41" s="720"/>
      <c r="U41" s="720"/>
      <c r="V41" s="720"/>
      <c r="W41" s="720"/>
      <c r="X41" s="720"/>
      <c r="Y41" s="720"/>
      <c r="Z41" s="720"/>
    </row>
    <row r="42" ht="12.0" customHeight="1">
      <c r="A42" s="2570">
        <v>36.0</v>
      </c>
      <c r="B42" s="2580">
        <f t="shared" si="1"/>
        <v>0.6106122449</v>
      </c>
      <c r="C42" s="2580">
        <f t="shared" si="2"/>
        <v>0.610416849</v>
      </c>
      <c r="D42" s="2580">
        <f t="shared" si="3"/>
        <v>0.5952248163</v>
      </c>
      <c r="E42" s="2580">
        <f t="shared" si="4"/>
        <v>0.5612137143</v>
      </c>
      <c r="F42" s="2580">
        <f t="shared" si="5"/>
        <v>0.5000914286</v>
      </c>
      <c r="G42" s="2580">
        <f t="shared" si="6"/>
        <v>0.4078889796</v>
      </c>
      <c r="H42" s="2580">
        <f t="shared" si="7"/>
        <v>0.2894302041</v>
      </c>
      <c r="I42" s="2580">
        <f t="shared" si="8"/>
        <v>0.1514318367</v>
      </c>
      <c r="J42" s="2581">
        <f t="shared" si="9"/>
        <v>0.06106122449</v>
      </c>
      <c r="K42" s="720"/>
      <c r="L42" s="720"/>
      <c r="M42" s="720"/>
      <c r="N42" s="720"/>
      <c r="O42" s="720"/>
      <c r="P42" s="720"/>
      <c r="Q42" s="720"/>
      <c r="R42" s="720"/>
      <c r="S42" s="720"/>
      <c r="T42" s="720"/>
      <c r="U42" s="720"/>
      <c r="V42" s="720"/>
      <c r="W42" s="720"/>
      <c r="X42" s="720"/>
      <c r="Y42" s="720"/>
      <c r="Z42" s="720"/>
    </row>
    <row r="43" ht="12.0" customHeight="1">
      <c r="A43" s="2573">
        <v>37.0</v>
      </c>
      <c r="B43" s="2574">
        <f t="shared" si="1"/>
        <v>0.5960204082</v>
      </c>
      <c r="C43" s="2574">
        <f t="shared" si="2"/>
        <v>0.5958296816</v>
      </c>
      <c r="D43" s="2574">
        <f t="shared" si="3"/>
        <v>0.5810006939</v>
      </c>
      <c r="E43" s="2574">
        <f t="shared" si="4"/>
        <v>0.5478023571</v>
      </c>
      <c r="F43" s="2574">
        <f t="shared" si="5"/>
        <v>0.4881407143</v>
      </c>
      <c r="G43" s="2574">
        <f t="shared" si="6"/>
        <v>0.3981416327</v>
      </c>
      <c r="H43" s="2574">
        <f t="shared" si="7"/>
        <v>0.2825136735</v>
      </c>
      <c r="I43" s="2574">
        <f t="shared" si="8"/>
        <v>0.1478130612</v>
      </c>
      <c r="J43" s="2575">
        <f t="shared" si="9"/>
        <v>0.05960204082</v>
      </c>
      <c r="K43" s="2576"/>
      <c r="L43" s="720"/>
      <c r="M43" s="720"/>
      <c r="N43" s="720"/>
      <c r="O43" s="720"/>
      <c r="P43" s="720"/>
      <c r="Q43" s="2576"/>
      <c r="R43" s="2576"/>
      <c r="S43" s="2576"/>
      <c r="T43" s="2576"/>
      <c r="U43" s="2576"/>
      <c r="V43" s="2576"/>
      <c r="W43" s="2576"/>
      <c r="X43" s="2576"/>
      <c r="Y43" s="2576"/>
      <c r="Z43" s="2576"/>
    </row>
    <row r="44" ht="12.0" customHeight="1">
      <c r="A44" s="2577">
        <v>38.0</v>
      </c>
      <c r="B44" s="2578">
        <f t="shared" si="1"/>
        <v>0.5812244898</v>
      </c>
      <c r="C44" s="2578">
        <f t="shared" si="2"/>
        <v>0.581038498</v>
      </c>
      <c r="D44" s="2578">
        <f t="shared" si="3"/>
        <v>0.5665776327</v>
      </c>
      <c r="E44" s="2578">
        <f t="shared" si="4"/>
        <v>0.5342034286</v>
      </c>
      <c r="F44" s="2578">
        <f t="shared" si="5"/>
        <v>0.4760228571</v>
      </c>
      <c r="G44" s="2578">
        <f t="shared" si="6"/>
        <v>0.3882579592</v>
      </c>
      <c r="H44" s="2578">
        <f t="shared" si="7"/>
        <v>0.2755004082</v>
      </c>
      <c r="I44" s="2578">
        <f t="shared" si="8"/>
        <v>0.1441436735</v>
      </c>
      <c r="J44" s="2579">
        <f t="shared" si="9"/>
        <v>0.05812244898</v>
      </c>
      <c r="K44" s="720"/>
      <c r="L44" s="720"/>
      <c r="M44" s="720"/>
      <c r="N44" s="720"/>
      <c r="O44" s="720"/>
      <c r="P44" s="720"/>
      <c r="Q44" s="720"/>
      <c r="R44" s="720"/>
      <c r="S44" s="720"/>
      <c r="T44" s="720"/>
      <c r="U44" s="720"/>
      <c r="V44" s="720"/>
      <c r="W44" s="720"/>
      <c r="X44" s="720"/>
      <c r="Y44" s="720"/>
      <c r="Z44" s="720"/>
    </row>
    <row r="45" ht="12.0" customHeight="1">
      <c r="A45" s="2570">
        <v>39.0</v>
      </c>
      <c r="B45" s="2580">
        <f t="shared" si="1"/>
        <v>0.5662244898</v>
      </c>
      <c r="C45" s="2580">
        <f t="shared" si="2"/>
        <v>0.566043298</v>
      </c>
      <c r="D45" s="2580">
        <f t="shared" si="3"/>
        <v>0.5519556327</v>
      </c>
      <c r="E45" s="2580">
        <f t="shared" si="4"/>
        <v>0.5204169286</v>
      </c>
      <c r="F45" s="2580">
        <f t="shared" si="5"/>
        <v>0.4637378571</v>
      </c>
      <c r="G45" s="2580">
        <f t="shared" si="6"/>
        <v>0.3782379592</v>
      </c>
      <c r="H45" s="2580">
        <f t="shared" si="7"/>
        <v>0.2683904082</v>
      </c>
      <c r="I45" s="2580">
        <f t="shared" si="8"/>
        <v>0.1404236735</v>
      </c>
      <c r="J45" s="2581">
        <f t="shared" si="9"/>
        <v>0.05662244898</v>
      </c>
      <c r="K45" s="720"/>
      <c r="L45" s="720"/>
      <c r="M45" s="720"/>
      <c r="N45" s="720"/>
      <c r="O45" s="720"/>
      <c r="P45" s="720"/>
      <c r="Q45" s="720"/>
      <c r="R45" s="720"/>
      <c r="S45" s="720"/>
      <c r="T45" s="720"/>
      <c r="U45" s="720"/>
      <c r="V45" s="720"/>
      <c r="W45" s="720"/>
      <c r="X45" s="720"/>
      <c r="Y45" s="720"/>
      <c r="Z45" s="720"/>
    </row>
    <row r="46" ht="12.0" customHeight="1">
      <c r="A46" s="2573">
        <v>40.0</v>
      </c>
      <c r="B46" s="2574">
        <f t="shared" si="1"/>
        <v>0.5510204082</v>
      </c>
      <c r="C46" s="2574">
        <f t="shared" si="2"/>
        <v>0.5508440816</v>
      </c>
      <c r="D46" s="2574">
        <f t="shared" si="3"/>
        <v>0.5371346939</v>
      </c>
      <c r="E46" s="2574">
        <f t="shared" si="4"/>
        <v>0.5064428571</v>
      </c>
      <c r="F46" s="2574">
        <f t="shared" si="5"/>
        <v>0.4512857143</v>
      </c>
      <c r="G46" s="2574">
        <f t="shared" si="6"/>
        <v>0.3680816327</v>
      </c>
      <c r="H46" s="2574">
        <f t="shared" si="7"/>
        <v>0.2611836735</v>
      </c>
      <c r="I46" s="2574">
        <f t="shared" si="8"/>
        <v>0.1366530612</v>
      </c>
      <c r="J46" s="2575">
        <f t="shared" si="9"/>
        <v>0.05510204082</v>
      </c>
      <c r="K46" s="2576"/>
      <c r="L46" s="720"/>
      <c r="M46" s="720"/>
      <c r="N46" s="720"/>
      <c r="O46" s="720"/>
      <c r="P46" s="720"/>
      <c r="Q46" s="2576"/>
      <c r="R46" s="2576"/>
      <c r="S46" s="2576"/>
      <c r="T46" s="2576"/>
      <c r="U46" s="2576"/>
      <c r="V46" s="2576"/>
      <c r="W46" s="2576"/>
      <c r="X46" s="2576"/>
      <c r="Y46" s="2576"/>
      <c r="Z46" s="2576"/>
    </row>
    <row r="47" ht="12.0" customHeight="1">
      <c r="A47" s="2577">
        <v>41.0</v>
      </c>
      <c r="B47" s="2578">
        <f t="shared" si="1"/>
        <v>0.5356122449</v>
      </c>
      <c r="C47" s="2578">
        <f t="shared" si="2"/>
        <v>0.535440849</v>
      </c>
      <c r="D47" s="2578">
        <f t="shared" si="3"/>
        <v>0.5221148163</v>
      </c>
      <c r="E47" s="2578">
        <f t="shared" si="4"/>
        <v>0.4922812143</v>
      </c>
      <c r="F47" s="2578">
        <f t="shared" si="5"/>
        <v>0.4386664286</v>
      </c>
      <c r="G47" s="2578">
        <f t="shared" si="6"/>
        <v>0.3577889796</v>
      </c>
      <c r="H47" s="2578">
        <f t="shared" si="7"/>
        <v>0.2538802041</v>
      </c>
      <c r="I47" s="2578">
        <f t="shared" si="8"/>
        <v>0.1328318367</v>
      </c>
      <c r="J47" s="2579">
        <f t="shared" si="9"/>
        <v>0.05356122449</v>
      </c>
      <c r="K47" s="720"/>
      <c r="L47" s="720"/>
      <c r="M47" s="720"/>
      <c r="N47" s="720"/>
      <c r="O47" s="720"/>
      <c r="P47" s="720"/>
      <c r="Q47" s="720"/>
      <c r="R47" s="720"/>
      <c r="S47" s="720"/>
      <c r="T47" s="720"/>
      <c r="U47" s="720"/>
      <c r="V47" s="720"/>
      <c r="W47" s="720"/>
      <c r="X47" s="720"/>
      <c r="Y47" s="720"/>
      <c r="Z47" s="720"/>
    </row>
    <row r="48" ht="12.0" customHeight="1">
      <c r="A48" s="2570">
        <v>42.0</v>
      </c>
      <c r="B48" s="2580">
        <f t="shared" si="1"/>
        <v>0.52</v>
      </c>
      <c r="C48" s="2580">
        <f t="shared" si="2"/>
        <v>0.5198336</v>
      </c>
      <c r="D48" s="2580">
        <f t="shared" si="3"/>
        <v>0.506896</v>
      </c>
      <c r="E48" s="2580">
        <f t="shared" si="4"/>
        <v>0.477932</v>
      </c>
      <c r="F48" s="2580">
        <f t="shared" si="5"/>
        <v>0.42588</v>
      </c>
      <c r="G48" s="2580">
        <f t="shared" si="6"/>
        <v>0.34736</v>
      </c>
      <c r="H48" s="2580">
        <f t="shared" si="7"/>
        <v>0.24648</v>
      </c>
      <c r="I48" s="2580">
        <f t="shared" si="8"/>
        <v>0.12896</v>
      </c>
      <c r="J48" s="2581">
        <f t="shared" si="9"/>
        <v>0.052</v>
      </c>
      <c r="K48" s="720"/>
      <c r="L48" s="720"/>
      <c r="M48" s="720"/>
      <c r="N48" s="720"/>
      <c r="O48" s="720"/>
      <c r="P48" s="720"/>
      <c r="Q48" s="720"/>
      <c r="R48" s="720"/>
      <c r="S48" s="720"/>
      <c r="T48" s="720"/>
      <c r="U48" s="720"/>
      <c r="V48" s="720"/>
      <c r="W48" s="720"/>
      <c r="X48" s="720"/>
      <c r="Y48" s="720"/>
      <c r="Z48" s="720"/>
    </row>
    <row r="49" ht="12.0" customHeight="1">
      <c r="A49" s="2573">
        <v>43.0</v>
      </c>
      <c r="B49" s="2574">
        <f t="shared" si="1"/>
        <v>0.5041836735</v>
      </c>
      <c r="C49" s="2574">
        <f t="shared" si="2"/>
        <v>0.5040223347</v>
      </c>
      <c r="D49" s="2574">
        <f t="shared" si="3"/>
        <v>0.4914782449</v>
      </c>
      <c r="E49" s="2574">
        <f t="shared" si="4"/>
        <v>0.4633952143</v>
      </c>
      <c r="F49" s="2574">
        <f t="shared" si="5"/>
        <v>0.4129264286</v>
      </c>
      <c r="G49" s="2574">
        <f t="shared" si="6"/>
        <v>0.3367946939</v>
      </c>
      <c r="H49" s="2574">
        <f t="shared" si="7"/>
        <v>0.2389830612</v>
      </c>
      <c r="I49" s="2574">
        <f t="shared" si="8"/>
        <v>0.125037551</v>
      </c>
      <c r="J49" s="2575">
        <f t="shared" si="9"/>
        <v>0.05041836735</v>
      </c>
      <c r="K49" s="2576"/>
      <c r="L49" s="720"/>
      <c r="M49" s="720"/>
      <c r="N49" s="720"/>
      <c r="O49" s="720"/>
      <c r="P49" s="720"/>
      <c r="Q49" s="2576"/>
      <c r="R49" s="2576"/>
      <c r="S49" s="2576"/>
      <c r="T49" s="2576"/>
      <c r="U49" s="2576"/>
      <c r="V49" s="2576"/>
      <c r="W49" s="2576"/>
      <c r="X49" s="2576"/>
      <c r="Y49" s="2576"/>
      <c r="Z49" s="2576"/>
    </row>
    <row r="50" ht="12.0" customHeight="1">
      <c r="A50" s="2577">
        <v>44.0</v>
      </c>
      <c r="B50" s="2578">
        <f t="shared" si="1"/>
        <v>0.4881632653</v>
      </c>
      <c r="C50" s="2578">
        <f t="shared" si="2"/>
        <v>0.4880070531</v>
      </c>
      <c r="D50" s="2578">
        <f t="shared" si="3"/>
        <v>0.475861551</v>
      </c>
      <c r="E50" s="2578">
        <f t="shared" si="4"/>
        <v>0.4486708571</v>
      </c>
      <c r="F50" s="2578">
        <f t="shared" si="5"/>
        <v>0.3998057143</v>
      </c>
      <c r="G50" s="2578">
        <f t="shared" si="6"/>
        <v>0.3260930612</v>
      </c>
      <c r="H50" s="2578">
        <f t="shared" si="7"/>
        <v>0.2313893878</v>
      </c>
      <c r="I50" s="2578">
        <f t="shared" si="8"/>
        <v>0.1210644898</v>
      </c>
      <c r="J50" s="2579">
        <f t="shared" si="9"/>
        <v>0.04881632653</v>
      </c>
      <c r="K50" s="720"/>
      <c r="L50" s="720"/>
      <c r="M50" s="720"/>
      <c r="N50" s="720"/>
      <c r="O50" s="720"/>
      <c r="P50" s="720"/>
      <c r="Q50" s="720"/>
      <c r="R50" s="720"/>
      <c r="S50" s="720"/>
      <c r="T50" s="720"/>
      <c r="U50" s="720"/>
      <c r="V50" s="720"/>
      <c r="W50" s="720"/>
      <c r="X50" s="720"/>
      <c r="Y50" s="720"/>
      <c r="Z50" s="720"/>
    </row>
    <row r="51" ht="12.0" customHeight="1">
      <c r="A51" s="2570">
        <v>45.0</v>
      </c>
      <c r="B51" s="2580">
        <f t="shared" si="1"/>
        <v>0.4719387755</v>
      </c>
      <c r="C51" s="2580">
        <f t="shared" si="2"/>
        <v>0.4717877551</v>
      </c>
      <c r="D51" s="2580">
        <f t="shared" si="3"/>
        <v>0.4600459184</v>
      </c>
      <c r="E51" s="2580">
        <f t="shared" si="4"/>
        <v>0.4337589286</v>
      </c>
      <c r="F51" s="2580">
        <f t="shared" si="5"/>
        <v>0.3865178571</v>
      </c>
      <c r="G51" s="2580">
        <f t="shared" si="6"/>
        <v>0.315255102</v>
      </c>
      <c r="H51" s="2580">
        <f t="shared" si="7"/>
        <v>0.2236989796</v>
      </c>
      <c r="I51" s="2580">
        <f t="shared" si="8"/>
        <v>0.1170408163</v>
      </c>
      <c r="J51" s="2581">
        <f t="shared" si="9"/>
        <v>0.04719387755</v>
      </c>
      <c r="K51" s="720"/>
      <c r="L51" s="720"/>
      <c r="M51" s="720"/>
      <c r="N51" s="720"/>
      <c r="O51" s="720"/>
      <c r="P51" s="720"/>
      <c r="Q51" s="720"/>
      <c r="R51" s="720"/>
      <c r="S51" s="720"/>
      <c r="T51" s="720"/>
      <c r="U51" s="720"/>
      <c r="V51" s="720"/>
      <c r="W51" s="720"/>
      <c r="X51" s="720"/>
      <c r="Y51" s="720"/>
      <c r="Z51" s="720"/>
    </row>
    <row r="52" ht="12.0" customHeight="1">
      <c r="A52" s="2573">
        <v>46.0</v>
      </c>
      <c r="B52" s="2574">
        <f t="shared" si="1"/>
        <v>0.4555102041</v>
      </c>
      <c r="C52" s="2574">
        <f t="shared" si="2"/>
        <v>0.4553644408</v>
      </c>
      <c r="D52" s="2574">
        <f t="shared" si="3"/>
        <v>0.4440313469</v>
      </c>
      <c r="E52" s="2574">
        <f t="shared" si="4"/>
        <v>0.4186594286</v>
      </c>
      <c r="F52" s="2574">
        <f t="shared" si="5"/>
        <v>0.3730628571</v>
      </c>
      <c r="G52" s="2574">
        <f t="shared" si="6"/>
        <v>0.3042808163</v>
      </c>
      <c r="H52" s="2574">
        <f t="shared" si="7"/>
        <v>0.2159118367</v>
      </c>
      <c r="I52" s="2574">
        <f t="shared" si="8"/>
        <v>0.1129665306</v>
      </c>
      <c r="J52" s="2575">
        <f t="shared" si="9"/>
        <v>0.04555102041</v>
      </c>
      <c r="K52" s="2576"/>
      <c r="L52" s="720"/>
      <c r="M52" s="720"/>
      <c r="N52" s="720"/>
      <c r="O52" s="720"/>
      <c r="P52" s="720"/>
      <c r="Q52" s="2576"/>
      <c r="R52" s="2576"/>
      <c r="S52" s="2576"/>
      <c r="T52" s="2576"/>
      <c r="U52" s="2576"/>
      <c r="V52" s="2576"/>
      <c r="W52" s="2576"/>
      <c r="X52" s="2576"/>
      <c r="Y52" s="2576"/>
      <c r="Z52" s="2576"/>
    </row>
    <row r="53" ht="12.0" customHeight="1">
      <c r="A53" s="2577">
        <v>47.0</v>
      </c>
      <c r="B53" s="2578">
        <f t="shared" si="1"/>
        <v>0.438877551</v>
      </c>
      <c r="C53" s="2578">
        <f t="shared" si="2"/>
        <v>0.4387371102</v>
      </c>
      <c r="D53" s="2578">
        <f t="shared" si="3"/>
        <v>0.4278178367</v>
      </c>
      <c r="E53" s="2578">
        <f t="shared" si="4"/>
        <v>0.4033723571</v>
      </c>
      <c r="F53" s="2578">
        <f t="shared" si="5"/>
        <v>0.3594407143</v>
      </c>
      <c r="G53" s="2578">
        <f t="shared" si="6"/>
        <v>0.2931702041</v>
      </c>
      <c r="H53" s="2578">
        <f t="shared" si="7"/>
        <v>0.2080279592</v>
      </c>
      <c r="I53" s="2578">
        <f t="shared" si="8"/>
        <v>0.1088416327</v>
      </c>
      <c r="J53" s="2579">
        <f t="shared" si="9"/>
        <v>0.0438877551</v>
      </c>
      <c r="K53" s="720"/>
      <c r="L53" s="720"/>
      <c r="M53" s="720"/>
      <c r="N53" s="720"/>
      <c r="O53" s="720"/>
      <c r="P53" s="720"/>
      <c r="Q53" s="720"/>
      <c r="R53" s="720"/>
      <c r="S53" s="720"/>
      <c r="T53" s="720"/>
      <c r="U53" s="720"/>
      <c r="V53" s="720"/>
      <c r="W53" s="720"/>
      <c r="X53" s="720"/>
      <c r="Y53" s="720"/>
      <c r="Z53" s="720"/>
    </row>
    <row r="54" ht="12.0" customHeight="1">
      <c r="A54" s="2570">
        <v>48.0</v>
      </c>
      <c r="B54" s="2580">
        <f t="shared" si="1"/>
        <v>0.4220408163</v>
      </c>
      <c r="C54" s="2580">
        <f t="shared" si="2"/>
        <v>0.4219057633</v>
      </c>
      <c r="D54" s="2580">
        <f t="shared" si="3"/>
        <v>0.4114053878</v>
      </c>
      <c r="E54" s="2580">
        <f t="shared" si="4"/>
        <v>0.3878977143</v>
      </c>
      <c r="F54" s="2580">
        <f t="shared" si="5"/>
        <v>0.3456514286</v>
      </c>
      <c r="G54" s="2580">
        <f t="shared" si="6"/>
        <v>0.2819232653</v>
      </c>
      <c r="H54" s="2580">
        <f t="shared" si="7"/>
        <v>0.2000473469</v>
      </c>
      <c r="I54" s="2580">
        <f t="shared" si="8"/>
        <v>0.1046661224</v>
      </c>
      <c r="J54" s="2581">
        <f t="shared" si="9"/>
        <v>0.04220408163</v>
      </c>
      <c r="K54" s="720"/>
      <c r="L54" s="720"/>
      <c r="M54" s="720"/>
      <c r="N54" s="720"/>
      <c r="O54" s="720"/>
      <c r="P54" s="720"/>
      <c r="Q54" s="720"/>
      <c r="R54" s="720"/>
      <c r="S54" s="720"/>
      <c r="T54" s="720"/>
      <c r="U54" s="720"/>
      <c r="V54" s="720"/>
      <c r="W54" s="720"/>
      <c r="X54" s="720"/>
      <c r="Y54" s="720"/>
      <c r="Z54" s="720"/>
    </row>
    <row r="55" ht="12.0" customHeight="1">
      <c r="A55" s="2573">
        <v>49.0</v>
      </c>
      <c r="B55" s="2574">
        <f t="shared" si="1"/>
        <v>0.405</v>
      </c>
      <c r="C55" s="2574">
        <f t="shared" si="2"/>
        <v>0.4048704</v>
      </c>
      <c r="D55" s="2574">
        <f t="shared" si="3"/>
        <v>0.394794</v>
      </c>
      <c r="E55" s="2574">
        <f t="shared" si="4"/>
        <v>0.3722355</v>
      </c>
      <c r="F55" s="2574">
        <f t="shared" si="5"/>
        <v>0.331695</v>
      </c>
      <c r="G55" s="2574">
        <f t="shared" si="6"/>
        <v>0.27054</v>
      </c>
      <c r="H55" s="2574">
        <f t="shared" si="7"/>
        <v>0.19197</v>
      </c>
      <c r="I55" s="2574">
        <f t="shared" si="8"/>
        <v>0.10044</v>
      </c>
      <c r="J55" s="2575">
        <f t="shared" si="9"/>
        <v>0.0405</v>
      </c>
      <c r="K55" s="2576"/>
      <c r="L55" s="720"/>
      <c r="M55" s="720"/>
      <c r="N55" s="720"/>
      <c r="O55" s="720"/>
      <c r="P55" s="720"/>
      <c r="Q55" s="2576"/>
      <c r="R55" s="2576"/>
      <c r="S55" s="2576"/>
      <c r="T55" s="2576"/>
      <c r="U55" s="2576"/>
      <c r="V55" s="2576"/>
      <c r="W55" s="2576"/>
      <c r="X55" s="2576"/>
      <c r="Y55" s="2576"/>
      <c r="Z55" s="2576"/>
    </row>
    <row r="56" ht="12.0" customHeight="1">
      <c r="A56" s="2577">
        <v>50.0</v>
      </c>
      <c r="B56" s="2578">
        <f t="shared" si="1"/>
        <v>0.387755102</v>
      </c>
      <c r="C56" s="2578">
        <f t="shared" si="2"/>
        <v>0.3876310204</v>
      </c>
      <c r="D56" s="2578">
        <f t="shared" si="3"/>
        <v>0.3779836735</v>
      </c>
      <c r="E56" s="2578">
        <f t="shared" si="4"/>
        <v>0.3563857143</v>
      </c>
      <c r="F56" s="2578">
        <f t="shared" si="5"/>
        <v>0.3175714286</v>
      </c>
      <c r="G56" s="2578">
        <f t="shared" si="6"/>
        <v>0.2590204082</v>
      </c>
      <c r="H56" s="2578">
        <f t="shared" si="7"/>
        <v>0.1837959184</v>
      </c>
      <c r="I56" s="2578">
        <f t="shared" si="8"/>
        <v>0.09616326531</v>
      </c>
      <c r="J56" s="2579">
        <f t="shared" si="9"/>
        <v>0.0387755102</v>
      </c>
      <c r="K56" s="720"/>
      <c r="L56" s="720"/>
      <c r="M56" s="720"/>
      <c r="N56" s="720"/>
      <c r="O56" s="720"/>
      <c r="P56" s="720"/>
      <c r="Q56" s="720"/>
      <c r="R56" s="720"/>
      <c r="S56" s="720"/>
      <c r="T56" s="720"/>
      <c r="U56" s="720"/>
      <c r="V56" s="720"/>
      <c r="W56" s="720"/>
      <c r="X56" s="720"/>
      <c r="Y56" s="720"/>
      <c r="Z56" s="720"/>
    </row>
    <row r="57" ht="12.0" customHeight="1">
      <c r="A57" s="2570">
        <v>51.0</v>
      </c>
      <c r="B57" s="2580">
        <f t="shared" si="1"/>
        <v>0.3703061224</v>
      </c>
      <c r="C57" s="2580">
        <f t="shared" si="2"/>
        <v>0.3701876245</v>
      </c>
      <c r="D57" s="2580">
        <f t="shared" si="3"/>
        <v>0.3609744082</v>
      </c>
      <c r="E57" s="2580">
        <f t="shared" si="4"/>
        <v>0.3403483571</v>
      </c>
      <c r="F57" s="2580">
        <f t="shared" si="5"/>
        <v>0.3032807143</v>
      </c>
      <c r="G57" s="2580">
        <f t="shared" si="6"/>
        <v>0.2473644898</v>
      </c>
      <c r="H57" s="2580">
        <f t="shared" si="7"/>
        <v>0.175525102</v>
      </c>
      <c r="I57" s="2580">
        <f t="shared" si="8"/>
        <v>0.09183591837</v>
      </c>
      <c r="J57" s="2581">
        <f t="shared" si="9"/>
        <v>0.03703061224</v>
      </c>
      <c r="K57" s="720"/>
      <c r="L57" s="720"/>
      <c r="M57" s="720"/>
      <c r="N57" s="720"/>
      <c r="O57" s="720"/>
      <c r="P57" s="720"/>
      <c r="Q57" s="720"/>
      <c r="R57" s="720"/>
      <c r="S57" s="720"/>
      <c r="T57" s="720"/>
      <c r="U57" s="720"/>
      <c r="V57" s="720"/>
      <c r="W57" s="720"/>
      <c r="X57" s="720"/>
      <c r="Y57" s="720"/>
      <c r="Z57" s="720"/>
    </row>
    <row r="58" ht="12.0" customHeight="1">
      <c r="A58" s="2573">
        <v>52.0</v>
      </c>
      <c r="B58" s="2574">
        <f t="shared" si="1"/>
        <v>0.3526530612</v>
      </c>
      <c r="C58" s="2574">
        <f t="shared" si="2"/>
        <v>0.3525402122</v>
      </c>
      <c r="D58" s="2574">
        <f t="shared" si="3"/>
        <v>0.3437662041</v>
      </c>
      <c r="E58" s="2574">
        <f t="shared" si="4"/>
        <v>0.3241234286</v>
      </c>
      <c r="F58" s="2574">
        <f t="shared" si="5"/>
        <v>0.2888228571</v>
      </c>
      <c r="G58" s="2574">
        <f t="shared" si="6"/>
        <v>0.2355722449</v>
      </c>
      <c r="H58" s="2574">
        <f t="shared" si="7"/>
        <v>0.167157551</v>
      </c>
      <c r="I58" s="2574">
        <f t="shared" si="8"/>
        <v>0.08745795918</v>
      </c>
      <c r="J58" s="2575">
        <f t="shared" si="9"/>
        <v>0.03526530612</v>
      </c>
      <c r="K58" s="2576"/>
      <c r="L58" s="720"/>
      <c r="M58" s="720"/>
      <c r="N58" s="720"/>
      <c r="O58" s="720"/>
      <c r="P58" s="720"/>
      <c r="Q58" s="2576"/>
      <c r="R58" s="2576"/>
      <c r="S58" s="2576"/>
      <c r="T58" s="2576"/>
      <c r="U58" s="2576"/>
      <c r="V58" s="2576"/>
      <c r="W58" s="2576"/>
      <c r="X58" s="2576"/>
      <c r="Y58" s="2576"/>
      <c r="Z58" s="2576"/>
    </row>
    <row r="59" ht="12.0" customHeight="1">
      <c r="A59" s="2577">
        <v>53.0</v>
      </c>
      <c r="B59" s="2578">
        <f t="shared" si="1"/>
        <v>0.3347959184</v>
      </c>
      <c r="C59" s="2578">
        <f t="shared" si="2"/>
        <v>0.3346887837</v>
      </c>
      <c r="D59" s="2578">
        <f t="shared" si="3"/>
        <v>0.3263590612</v>
      </c>
      <c r="E59" s="2578">
        <f t="shared" si="4"/>
        <v>0.3077109286</v>
      </c>
      <c r="F59" s="2578">
        <f t="shared" si="5"/>
        <v>0.2741978571</v>
      </c>
      <c r="G59" s="2578">
        <f t="shared" si="6"/>
        <v>0.2236436735</v>
      </c>
      <c r="H59" s="2578">
        <f t="shared" si="7"/>
        <v>0.1586932653</v>
      </c>
      <c r="I59" s="2578">
        <f t="shared" si="8"/>
        <v>0.08302938776</v>
      </c>
      <c r="J59" s="2579">
        <f t="shared" si="9"/>
        <v>0.03347959184</v>
      </c>
      <c r="K59" s="720"/>
      <c r="L59" s="720"/>
      <c r="M59" s="720"/>
      <c r="N59" s="720"/>
      <c r="O59" s="720"/>
      <c r="P59" s="720"/>
      <c r="Q59" s="720"/>
      <c r="R59" s="720"/>
      <c r="S59" s="720"/>
      <c r="T59" s="720"/>
      <c r="U59" s="720"/>
      <c r="V59" s="720"/>
      <c r="W59" s="720"/>
      <c r="X59" s="720"/>
      <c r="Y59" s="720"/>
      <c r="Z59" s="720"/>
    </row>
    <row r="60" ht="12.0" customHeight="1">
      <c r="A60" s="2570">
        <v>54.0</v>
      </c>
      <c r="B60" s="2580">
        <f t="shared" si="1"/>
        <v>0.3167346939</v>
      </c>
      <c r="C60" s="2580">
        <f t="shared" si="2"/>
        <v>0.3166333388</v>
      </c>
      <c r="D60" s="2580">
        <f t="shared" si="3"/>
        <v>0.3087529796</v>
      </c>
      <c r="E60" s="2580">
        <f t="shared" si="4"/>
        <v>0.2911108571</v>
      </c>
      <c r="F60" s="2580">
        <f t="shared" si="5"/>
        <v>0.2594057143</v>
      </c>
      <c r="G60" s="2580">
        <f t="shared" si="6"/>
        <v>0.2115787755</v>
      </c>
      <c r="H60" s="2580">
        <f t="shared" si="7"/>
        <v>0.1501322449</v>
      </c>
      <c r="I60" s="2580">
        <f t="shared" si="8"/>
        <v>0.07855020408</v>
      </c>
      <c r="J60" s="2581">
        <f t="shared" si="9"/>
        <v>0.03167346939</v>
      </c>
      <c r="K60" s="720"/>
      <c r="L60" s="720"/>
      <c r="M60" s="720"/>
      <c r="N60" s="720"/>
      <c r="O60" s="720"/>
      <c r="P60" s="720"/>
      <c r="Q60" s="720"/>
      <c r="R60" s="720"/>
      <c r="S60" s="720"/>
      <c r="T60" s="720"/>
      <c r="U60" s="720"/>
      <c r="V60" s="720"/>
      <c r="W60" s="720"/>
      <c r="X60" s="720"/>
      <c r="Y60" s="720"/>
      <c r="Z60" s="720"/>
    </row>
    <row r="61" ht="12.0" customHeight="1">
      <c r="A61" s="2573">
        <v>55.0</v>
      </c>
      <c r="B61" s="2574">
        <f t="shared" si="1"/>
        <v>0.2984693878</v>
      </c>
      <c r="C61" s="2574">
        <f t="shared" si="2"/>
        <v>0.2983738776</v>
      </c>
      <c r="D61" s="2574">
        <f t="shared" si="3"/>
        <v>0.2909479592</v>
      </c>
      <c r="E61" s="2574">
        <f t="shared" si="4"/>
        <v>0.2743232143</v>
      </c>
      <c r="F61" s="2574">
        <f t="shared" si="5"/>
        <v>0.2444464286</v>
      </c>
      <c r="G61" s="2574">
        <f t="shared" si="6"/>
        <v>0.199377551</v>
      </c>
      <c r="H61" s="2574">
        <f t="shared" si="7"/>
        <v>0.1414744898</v>
      </c>
      <c r="I61" s="2574">
        <f t="shared" si="8"/>
        <v>0.07402040816</v>
      </c>
      <c r="J61" s="2575">
        <f t="shared" si="9"/>
        <v>0.02984693878</v>
      </c>
      <c r="K61" s="2576"/>
      <c r="L61" s="720"/>
      <c r="M61" s="720"/>
      <c r="N61" s="720"/>
      <c r="O61" s="720"/>
      <c r="P61" s="720"/>
      <c r="Q61" s="2576"/>
      <c r="R61" s="2576"/>
      <c r="S61" s="2576"/>
      <c r="T61" s="2576"/>
      <c r="U61" s="2576"/>
      <c r="V61" s="2576"/>
      <c r="W61" s="2576"/>
      <c r="X61" s="2576"/>
      <c r="Y61" s="2576"/>
      <c r="Z61" s="2576"/>
    </row>
    <row r="62" ht="12.0" customHeight="1">
      <c r="A62" s="2577">
        <v>56.0</v>
      </c>
      <c r="B62" s="2578">
        <f t="shared" si="1"/>
        <v>0.28</v>
      </c>
      <c r="C62" s="2578">
        <f t="shared" si="2"/>
        <v>0.2799104</v>
      </c>
      <c r="D62" s="2578">
        <f t="shared" si="3"/>
        <v>0.272944</v>
      </c>
      <c r="E62" s="2578">
        <f t="shared" si="4"/>
        <v>0.257348</v>
      </c>
      <c r="F62" s="2578">
        <f t="shared" si="5"/>
        <v>0.22932</v>
      </c>
      <c r="G62" s="2578">
        <f t="shared" si="6"/>
        <v>0.18704</v>
      </c>
      <c r="H62" s="2578">
        <f t="shared" si="7"/>
        <v>0.13272</v>
      </c>
      <c r="I62" s="2578">
        <f t="shared" si="8"/>
        <v>0.06944</v>
      </c>
      <c r="J62" s="2579">
        <f t="shared" si="9"/>
        <v>0.028</v>
      </c>
      <c r="K62" s="720"/>
      <c r="L62" s="720"/>
      <c r="M62" s="720"/>
      <c r="N62" s="720"/>
      <c r="O62" s="720"/>
      <c r="P62" s="720"/>
      <c r="Q62" s="720"/>
      <c r="R62" s="720"/>
      <c r="S62" s="720"/>
      <c r="T62" s="720"/>
      <c r="U62" s="720"/>
      <c r="V62" s="720"/>
      <c r="W62" s="720"/>
      <c r="X62" s="720"/>
      <c r="Y62" s="720"/>
      <c r="Z62" s="720"/>
    </row>
    <row r="63" ht="12.0" customHeight="1">
      <c r="A63" s="2570">
        <v>57.0</v>
      </c>
      <c r="B63" s="2580">
        <f t="shared" si="1"/>
        <v>0.2613265306</v>
      </c>
      <c r="C63" s="2580">
        <f t="shared" si="2"/>
        <v>0.2612429061</v>
      </c>
      <c r="D63" s="2580">
        <f t="shared" si="3"/>
        <v>0.254741102</v>
      </c>
      <c r="E63" s="2580">
        <f t="shared" si="4"/>
        <v>0.2401852143</v>
      </c>
      <c r="F63" s="2580">
        <f t="shared" si="5"/>
        <v>0.2140264286</v>
      </c>
      <c r="G63" s="2580">
        <f t="shared" si="6"/>
        <v>0.1745661224</v>
      </c>
      <c r="H63" s="2580">
        <f t="shared" si="7"/>
        <v>0.1238687755</v>
      </c>
      <c r="I63" s="2580">
        <f t="shared" si="8"/>
        <v>0.06480897959</v>
      </c>
      <c r="J63" s="2581">
        <f t="shared" si="9"/>
        <v>0.02613265306</v>
      </c>
      <c r="K63" s="720"/>
      <c r="L63" s="720"/>
      <c r="M63" s="720"/>
      <c r="N63" s="720"/>
      <c r="O63" s="720"/>
      <c r="P63" s="720"/>
      <c r="Q63" s="720"/>
      <c r="R63" s="720"/>
      <c r="S63" s="720"/>
      <c r="T63" s="720"/>
      <c r="U63" s="720"/>
      <c r="V63" s="720"/>
      <c r="W63" s="720"/>
      <c r="X63" s="720"/>
      <c r="Y63" s="720"/>
      <c r="Z63" s="720"/>
    </row>
    <row r="64" ht="12.0" customHeight="1">
      <c r="A64" s="2573">
        <v>58.0</v>
      </c>
      <c r="B64" s="2574">
        <f t="shared" si="1"/>
        <v>0.2424489796</v>
      </c>
      <c r="C64" s="2574">
        <f t="shared" si="2"/>
        <v>0.2423713959</v>
      </c>
      <c r="D64" s="2574">
        <f t="shared" si="3"/>
        <v>0.2363392653</v>
      </c>
      <c r="E64" s="2574">
        <f t="shared" si="4"/>
        <v>0.2228348571</v>
      </c>
      <c r="F64" s="2574">
        <f t="shared" si="5"/>
        <v>0.1985657143</v>
      </c>
      <c r="G64" s="2574">
        <f t="shared" si="6"/>
        <v>0.1619559184</v>
      </c>
      <c r="H64" s="2574">
        <f t="shared" si="7"/>
        <v>0.1149208163</v>
      </c>
      <c r="I64" s="2574">
        <f t="shared" si="8"/>
        <v>0.06012734694</v>
      </c>
      <c r="J64" s="2575">
        <f t="shared" si="9"/>
        <v>0.02424489796</v>
      </c>
      <c r="K64" s="2576"/>
      <c r="L64" s="720"/>
      <c r="M64" s="720"/>
      <c r="N64" s="720"/>
      <c r="O64" s="720"/>
      <c r="P64" s="720"/>
      <c r="Q64" s="2576"/>
      <c r="R64" s="2576"/>
      <c r="S64" s="2576"/>
      <c r="T64" s="2576"/>
      <c r="U64" s="2576"/>
      <c r="V64" s="2576"/>
      <c r="W64" s="2576"/>
      <c r="X64" s="2576"/>
      <c r="Y64" s="2576"/>
      <c r="Z64" s="2576"/>
    </row>
    <row r="65" ht="12.0" customHeight="1">
      <c r="A65" s="2577">
        <v>59.0</v>
      </c>
      <c r="B65" s="2578">
        <f t="shared" si="1"/>
        <v>0.2233673469</v>
      </c>
      <c r="C65" s="2578">
        <f t="shared" si="2"/>
        <v>0.2232958694</v>
      </c>
      <c r="D65" s="2578">
        <f t="shared" si="3"/>
        <v>0.2177384898</v>
      </c>
      <c r="E65" s="2578">
        <f t="shared" si="4"/>
        <v>0.2052969286</v>
      </c>
      <c r="F65" s="2578">
        <f t="shared" si="5"/>
        <v>0.1829378571</v>
      </c>
      <c r="G65" s="2578">
        <f t="shared" si="6"/>
        <v>0.1492093878</v>
      </c>
      <c r="H65" s="2578">
        <f t="shared" si="7"/>
        <v>0.1058761224</v>
      </c>
      <c r="I65" s="2578">
        <f t="shared" si="8"/>
        <v>0.05539510204</v>
      </c>
      <c r="J65" s="2579">
        <f t="shared" si="9"/>
        <v>0.02233673469</v>
      </c>
      <c r="K65" s="720"/>
      <c r="L65" s="720"/>
      <c r="M65" s="720"/>
      <c r="N65" s="720"/>
      <c r="O65" s="720"/>
      <c r="P65" s="720"/>
      <c r="Q65" s="720"/>
      <c r="R65" s="720"/>
      <c r="S65" s="720"/>
      <c r="T65" s="720"/>
      <c r="U65" s="720"/>
      <c r="V65" s="720"/>
      <c r="W65" s="720"/>
      <c r="X65" s="720"/>
      <c r="Y65" s="720"/>
      <c r="Z65" s="720"/>
    </row>
    <row r="66" ht="12.0" customHeight="1">
      <c r="A66" s="2582">
        <v>60.0</v>
      </c>
      <c r="B66" s="2583">
        <f t="shared" si="1"/>
        <v>0.2040816327</v>
      </c>
      <c r="C66" s="2583">
        <f t="shared" si="2"/>
        <v>0.2040163265</v>
      </c>
      <c r="D66" s="2583">
        <f t="shared" si="3"/>
        <v>0.1989387755</v>
      </c>
      <c r="E66" s="2583">
        <f t="shared" si="4"/>
        <v>0.1875714286</v>
      </c>
      <c r="F66" s="2583">
        <f t="shared" si="5"/>
        <v>0.1671428571</v>
      </c>
      <c r="G66" s="2583">
        <f t="shared" si="6"/>
        <v>0.1363265306</v>
      </c>
      <c r="H66" s="2583">
        <f t="shared" si="7"/>
        <v>0.09673469388</v>
      </c>
      <c r="I66" s="2583">
        <f t="shared" si="8"/>
        <v>0.0506122449</v>
      </c>
      <c r="J66" s="2584">
        <f t="shared" si="9"/>
        <v>0.02040816327</v>
      </c>
      <c r="K66" s="720"/>
      <c r="L66" s="720"/>
      <c r="M66" s="720"/>
      <c r="N66" s="720"/>
      <c r="O66" s="720"/>
      <c r="P66" s="720"/>
      <c r="Q66" s="720"/>
      <c r="R66" s="720"/>
      <c r="S66" s="720"/>
      <c r="T66" s="720"/>
      <c r="U66" s="720"/>
      <c r="V66" s="720"/>
      <c r="W66" s="720"/>
      <c r="X66" s="720"/>
      <c r="Y66" s="720"/>
      <c r="Z66" s="720"/>
    </row>
    <row r="67" ht="9.75" customHeight="1">
      <c r="A67" s="2573">
        <v>61.0</v>
      </c>
      <c r="B67" s="2574">
        <f t="shared" si="1"/>
        <v>0.1845918367</v>
      </c>
      <c r="C67" s="2574">
        <f t="shared" si="2"/>
        <v>0.1845327673</v>
      </c>
      <c r="D67" s="2574">
        <f t="shared" si="3"/>
        <v>0.1799401224</v>
      </c>
      <c r="E67" s="2574">
        <f t="shared" si="4"/>
        <v>0.1696583571</v>
      </c>
      <c r="F67" s="2574">
        <f t="shared" si="5"/>
        <v>0.1511807143</v>
      </c>
      <c r="G67" s="2574">
        <f t="shared" si="6"/>
        <v>0.1233073469</v>
      </c>
      <c r="H67" s="2574">
        <f t="shared" si="7"/>
        <v>0.08749653061</v>
      </c>
      <c r="I67" s="2574">
        <f t="shared" si="8"/>
        <v>0.04577877551</v>
      </c>
      <c r="J67" s="2575">
        <f t="shared" si="9"/>
        <v>0.01845918367</v>
      </c>
      <c r="K67" s="176"/>
      <c r="L67" s="176"/>
      <c r="M67" s="176"/>
      <c r="N67" s="176"/>
      <c r="O67" s="176"/>
      <c r="P67" s="176"/>
      <c r="Q67" s="176"/>
      <c r="R67" s="176"/>
      <c r="S67" s="176"/>
      <c r="T67" s="176"/>
      <c r="U67" s="176"/>
      <c r="V67" s="176"/>
      <c r="W67" s="176"/>
      <c r="X67" s="176"/>
      <c r="Y67" s="176"/>
      <c r="Z67" s="176"/>
    </row>
    <row r="68" ht="9.75" customHeight="1">
      <c r="A68" s="2577">
        <v>62.0</v>
      </c>
      <c r="B68" s="2578">
        <f t="shared" si="1"/>
        <v>0.1648979592</v>
      </c>
      <c r="C68" s="2578">
        <f t="shared" si="2"/>
        <v>0.1648451918</v>
      </c>
      <c r="D68" s="2578">
        <f t="shared" si="3"/>
        <v>0.1607425306</v>
      </c>
      <c r="E68" s="2578">
        <f t="shared" si="4"/>
        <v>0.1515577143</v>
      </c>
      <c r="F68" s="2578">
        <f t="shared" si="5"/>
        <v>0.1350514286</v>
      </c>
      <c r="G68" s="2578">
        <f t="shared" si="6"/>
        <v>0.1101518367</v>
      </c>
      <c r="H68" s="2578">
        <f t="shared" si="7"/>
        <v>0.07816163265</v>
      </c>
      <c r="I68" s="2578">
        <f t="shared" si="8"/>
        <v>0.04089469388</v>
      </c>
      <c r="J68" s="2579">
        <f t="shared" si="9"/>
        <v>0.01648979592</v>
      </c>
      <c r="K68" s="176"/>
      <c r="L68" s="176"/>
      <c r="M68" s="176"/>
      <c r="N68" s="176"/>
      <c r="O68" s="176"/>
      <c r="P68" s="176"/>
      <c r="Q68" s="176"/>
      <c r="R68" s="176"/>
      <c r="S68" s="176"/>
      <c r="T68" s="176"/>
      <c r="U68" s="176"/>
      <c r="V68" s="176"/>
      <c r="W68" s="176"/>
      <c r="X68" s="176"/>
      <c r="Y68" s="176"/>
      <c r="Z68" s="176"/>
    </row>
    <row r="69" ht="9.75" customHeight="1">
      <c r="A69" s="2582">
        <v>63.0</v>
      </c>
      <c r="B69" s="2583">
        <f t="shared" si="1"/>
        <v>0.145</v>
      </c>
      <c r="C69" s="2583">
        <f t="shared" si="2"/>
        <v>0.1449536</v>
      </c>
      <c r="D69" s="2583">
        <f t="shared" si="3"/>
        <v>0.141346</v>
      </c>
      <c r="E69" s="2583">
        <f t="shared" si="4"/>
        <v>0.1332695</v>
      </c>
      <c r="F69" s="2583">
        <f t="shared" si="5"/>
        <v>0.118755</v>
      </c>
      <c r="G69" s="2583">
        <f t="shared" si="6"/>
        <v>0.09686</v>
      </c>
      <c r="H69" s="2583">
        <f t="shared" si="7"/>
        <v>0.06873</v>
      </c>
      <c r="I69" s="2583">
        <f t="shared" si="8"/>
        <v>0.03596</v>
      </c>
      <c r="J69" s="2584">
        <f t="shared" si="9"/>
        <v>0.0145</v>
      </c>
      <c r="K69" s="176"/>
      <c r="L69" s="176"/>
      <c r="M69" s="176"/>
      <c r="N69" s="176"/>
      <c r="O69" s="176"/>
      <c r="P69" s="176"/>
      <c r="Q69" s="176"/>
      <c r="R69" s="176"/>
      <c r="S69" s="176"/>
      <c r="T69" s="176"/>
      <c r="U69" s="176"/>
      <c r="V69" s="176"/>
      <c r="W69" s="176"/>
      <c r="X69" s="176"/>
      <c r="Y69" s="176"/>
      <c r="Z69" s="176"/>
    </row>
    <row r="70" ht="9.75" customHeight="1">
      <c r="A70" s="2573">
        <v>64.0</v>
      </c>
      <c r="B70" s="2574">
        <f t="shared" si="1"/>
        <v>0.1248979592</v>
      </c>
      <c r="C70" s="2574">
        <f t="shared" si="2"/>
        <v>0.1248579918</v>
      </c>
      <c r="D70" s="2574">
        <f t="shared" si="3"/>
        <v>0.1217505306</v>
      </c>
      <c r="E70" s="2574">
        <f t="shared" si="4"/>
        <v>0.1147937143</v>
      </c>
      <c r="F70" s="2574">
        <f t="shared" si="5"/>
        <v>0.1022914286</v>
      </c>
      <c r="G70" s="2574">
        <f t="shared" si="6"/>
        <v>0.08343183673</v>
      </c>
      <c r="H70" s="2574">
        <f t="shared" si="7"/>
        <v>0.05920163265</v>
      </c>
      <c r="I70" s="2574">
        <f t="shared" si="8"/>
        <v>0.03097469388</v>
      </c>
      <c r="J70" s="2575">
        <f t="shared" si="9"/>
        <v>0.01248979592</v>
      </c>
      <c r="K70" s="176"/>
      <c r="L70" s="176"/>
      <c r="M70" s="176"/>
      <c r="N70" s="176"/>
      <c r="O70" s="176"/>
      <c r="P70" s="176"/>
      <c r="Q70" s="176"/>
      <c r="R70" s="176"/>
      <c r="S70" s="176"/>
      <c r="T70" s="176"/>
      <c r="U70" s="176"/>
      <c r="V70" s="176"/>
      <c r="W70" s="176"/>
      <c r="X70" s="176"/>
      <c r="Y70" s="176"/>
      <c r="Z70" s="176"/>
    </row>
    <row r="71" ht="9.75" customHeight="1">
      <c r="A71" s="2577">
        <v>65.0</v>
      </c>
      <c r="B71" s="2578">
        <f t="shared" si="1"/>
        <v>0.1045918367</v>
      </c>
      <c r="C71" s="2578">
        <f t="shared" si="2"/>
        <v>0.1045583673</v>
      </c>
      <c r="D71" s="2578">
        <f t="shared" si="3"/>
        <v>0.1019561224</v>
      </c>
      <c r="E71" s="2578">
        <f t="shared" si="4"/>
        <v>0.09613035714</v>
      </c>
      <c r="F71" s="2578">
        <f t="shared" si="5"/>
        <v>0.08566071429</v>
      </c>
      <c r="G71" s="2578">
        <f t="shared" si="6"/>
        <v>0.06986734694</v>
      </c>
      <c r="H71" s="2578">
        <f t="shared" si="7"/>
        <v>0.04957653061</v>
      </c>
      <c r="I71" s="2578">
        <f t="shared" si="8"/>
        <v>0.02593877551</v>
      </c>
      <c r="J71" s="2579">
        <f t="shared" si="9"/>
        <v>0.01045918367</v>
      </c>
      <c r="K71" s="176"/>
      <c r="L71" s="176"/>
      <c r="M71" s="176"/>
      <c r="N71" s="176"/>
      <c r="O71" s="176"/>
      <c r="P71" s="176"/>
      <c r="Q71" s="176"/>
      <c r="R71" s="176"/>
      <c r="S71" s="176"/>
      <c r="T71" s="176"/>
      <c r="U71" s="176"/>
      <c r="V71" s="176"/>
      <c r="W71" s="176"/>
      <c r="X71" s="176"/>
      <c r="Y71" s="176"/>
      <c r="Z71" s="176"/>
    </row>
    <row r="72" ht="9.75" customHeight="1">
      <c r="A72" s="2582">
        <v>66.0</v>
      </c>
      <c r="B72" s="2583">
        <f t="shared" si="1"/>
        <v>0.08408163265</v>
      </c>
      <c r="C72" s="2583">
        <f t="shared" si="2"/>
        <v>0.08405472653</v>
      </c>
      <c r="D72" s="2583">
        <f t="shared" si="3"/>
        <v>0.08196277551</v>
      </c>
      <c r="E72" s="2583">
        <f t="shared" si="4"/>
        <v>0.07727942857</v>
      </c>
      <c r="F72" s="2583">
        <f t="shared" si="5"/>
        <v>0.06886285714</v>
      </c>
      <c r="G72" s="2583">
        <f t="shared" si="6"/>
        <v>0.05616653061</v>
      </c>
      <c r="H72" s="2583">
        <f t="shared" si="7"/>
        <v>0.03985469388</v>
      </c>
      <c r="I72" s="2583">
        <f t="shared" si="8"/>
        <v>0.0208522449</v>
      </c>
      <c r="J72" s="2584">
        <f t="shared" si="9"/>
        <v>0.008408163265</v>
      </c>
      <c r="K72" s="176"/>
      <c r="L72" s="176"/>
      <c r="M72" s="176"/>
      <c r="N72" s="176"/>
      <c r="O72" s="176"/>
      <c r="P72" s="176"/>
      <c r="Q72" s="176"/>
      <c r="R72" s="176"/>
      <c r="S72" s="176"/>
      <c r="T72" s="176"/>
      <c r="U72" s="176"/>
      <c r="V72" s="176"/>
      <c r="W72" s="176"/>
      <c r="X72" s="176"/>
      <c r="Y72" s="176"/>
      <c r="Z72" s="176"/>
    </row>
    <row r="73" ht="9.75" customHeight="1">
      <c r="A73" s="2573">
        <v>67.0</v>
      </c>
      <c r="B73" s="2574">
        <f t="shared" si="1"/>
        <v>0.06336734694</v>
      </c>
      <c r="C73" s="2574">
        <f t="shared" si="2"/>
        <v>0.06334706939</v>
      </c>
      <c r="D73" s="2574">
        <f t="shared" si="3"/>
        <v>0.0617704898</v>
      </c>
      <c r="E73" s="2574">
        <f t="shared" si="4"/>
        <v>0.05824092857</v>
      </c>
      <c r="F73" s="2574">
        <f t="shared" si="5"/>
        <v>0.05189785714</v>
      </c>
      <c r="G73" s="2574">
        <f t="shared" si="6"/>
        <v>0.04232938776</v>
      </c>
      <c r="H73" s="2574">
        <f t="shared" si="7"/>
        <v>0.03003612245</v>
      </c>
      <c r="I73" s="2574">
        <f t="shared" si="8"/>
        <v>0.01571510204</v>
      </c>
      <c r="J73" s="2575">
        <f t="shared" si="9"/>
        <v>0.006336734694</v>
      </c>
      <c r="K73" s="176"/>
      <c r="L73" s="176"/>
      <c r="M73" s="176"/>
      <c r="N73" s="176"/>
      <c r="O73" s="176"/>
      <c r="P73" s="176"/>
      <c r="Q73" s="176"/>
      <c r="R73" s="176"/>
      <c r="S73" s="176"/>
      <c r="T73" s="176"/>
      <c r="U73" s="176"/>
      <c r="V73" s="176"/>
      <c r="W73" s="176"/>
      <c r="X73" s="176"/>
      <c r="Y73" s="176"/>
      <c r="Z73" s="176"/>
    </row>
    <row r="74" ht="9.75" customHeight="1">
      <c r="A74" s="2577">
        <v>68.0</v>
      </c>
      <c r="B74" s="2578">
        <f t="shared" si="1"/>
        <v>0.04244897959</v>
      </c>
      <c r="C74" s="2578">
        <f t="shared" si="2"/>
        <v>0.04243539592</v>
      </c>
      <c r="D74" s="2578">
        <f t="shared" si="3"/>
        <v>0.04137926531</v>
      </c>
      <c r="E74" s="2578">
        <f t="shared" si="4"/>
        <v>0.03901485714</v>
      </c>
      <c r="F74" s="2578">
        <f t="shared" si="5"/>
        <v>0.03476571429</v>
      </c>
      <c r="G74" s="2578">
        <f t="shared" si="6"/>
        <v>0.02835591837</v>
      </c>
      <c r="H74" s="2578">
        <f t="shared" si="7"/>
        <v>0.02012081633</v>
      </c>
      <c r="I74" s="2578">
        <f t="shared" si="8"/>
        <v>0.01052734694</v>
      </c>
      <c r="J74" s="2579">
        <f t="shared" si="9"/>
        <v>0.004244897959</v>
      </c>
      <c r="K74" s="176"/>
      <c r="L74" s="176"/>
      <c r="M74" s="176"/>
      <c r="N74" s="176"/>
      <c r="O74" s="176"/>
      <c r="P74" s="176"/>
      <c r="Q74" s="176"/>
      <c r="R74" s="176"/>
      <c r="S74" s="176"/>
      <c r="T74" s="176"/>
      <c r="U74" s="176"/>
      <c r="V74" s="176"/>
      <c r="W74" s="176"/>
      <c r="X74" s="176"/>
      <c r="Y74" s="176"/>
      <c r="Z74" s="176"/>
    </row>
    <row r="75" ht="9.75" customHeight="1">
      <c r="A75" s="2573">
        <v>69.0</v>
      </c>
      <c r="B75" s="2574">
        <f t="shared" si="1"/>
        <v>0.02132653061</v>
      </c>
      <c r="C75" s="2574">
        <f t="shared" si="2"/>
        <v>0.02131970612</v>
      </c>
      <c r="D75" s="2574">
        <f t="shared" si="3"/>
        <v>0.02078910204</v>
      </c>
      <c r="E75" s="2574">
        <f t="shared" si="4"/>
        <v>0.01960121429</v>
      </c>
      <c r="F75" s="2574">
        <f t="shared" si="5"/>
        <v>0.01746642857</v>
      </c>
      <c r="G75" s="2574">
        <f t="shared" si="6"/>
        <v>0.01424612245</v>
      </c>
      <c r="H75" s="2574">
        <f t="shared" si="7"/>
        <v>0.01010877551</v>
      </c>
      <c r="I75" s="2574">
        <f t="shared" si="8"/>
        <v>0.005288979592</v>
      </c>
      <c r="J75" s="2575">
        <f t="shared" si="9"/>
        <v>0.002132653061</v>
      </c>
      <c r="K75" s="176"/>
      <c r="L75" s="176"/>
      <c r="M75" s="176"/>
      <c r="N75" s="176"/>
      <c r="O75" s="176"/>
      <c r="P75" s="176"/>
      <c r="Q75" s="176"/>
      <c r="R75" s="176"/>
      <c r="S75" s="176"/>
      <c r="T75" s="176"/>
      <c r="U75" s="176"/>
      <c r="V75" s="176"/>
      <c r="W75" s="176"/>
      <c r="X75" s="176"/>
      <c r="Y75" s="176"/>
      <c r="Z75" s="176"/>
    </row>
    <row r="76" ht="9.75" customHeight="1">
      <c r="A76" s="2577">
        <v>70.0</v>
      </c>
      <c r="B76" s="2578">
        <f t="shared" si="1"/>
        <v>0</v>
      </c>
      <c r="C76" s="2578">
        <f t="shared" si="2"/>
        <v>0</v>
      </c>
      <c r="D76" s="2578">
        <f t="shared" si="3"/>
        <v>0</v>
      </c>
      <c r="E76" s="2578">
        <f t="shared" si="4"/>
        <v>0</v>
      </c>
      <c r="F76" s="2578">
        <f t="shared" si="5"/>
        <v>0</v>
      </c>
      <c r="G76" s="2578">
        <f t="shared" si="6"/>
        <v>0</v>
      </c>
      <c r="H76" s="2578">
        <f t="shared" si="7"/>
        <v>0</v>
      </c>
      <c r="I76" s="2578">
        <f t="shared" si="8"/>
        <v>0</v>
      </c>
      <c r="J76" s="2579">
        <f t="shared" si="9"/>
        <v>0</v>
      </c>
      <c r="K76" s="176"/>
      <c r="L76" s="176"/>
      <c r="M76" s="176"/>
      <c r="N76" s="176"/>
      <c r="O76" s="176"/>
      <c r="P76" s="176"/>
      <c r="Q76" s="176"/>
      <c r="R76" s="176"/>
      <c r="S76" s="176"/>
      <c r="T76" s="176"/>
      <c r="U76" s="176"/>
      <c r="V76" s="176"/>
      <c r="W76" s="176"/>
      <c r="X76" s="176"/>
      <c r="Y76" s="176"/>
      <c r="Z76" s="176"/>
    </row>
    <row r="77" ht="9.75" customHeight="1">
      <c r="A77" s="2582"/>
      <c r="B77" s="2583"/>
      <c r="C77" s="2583"/>
      <c r="D77" s="2583"/>
      <c r="E77" s="2583"/>
      <c r="F77" s="2583"/>
      <c r="G77" s="2583"/>
      <c r="H77" s="2583"/>
      <c r="I77" s="2583"/>
      <c r="J77" s="2584"/>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941</v>
      </c>
      <c r="B1" s="103"/>
      <c r="C1" s="103"/>
    </row>
    <row r="2" ht="12.75" customHeight="1">
      <c r="A2" s="2585">
        <v>0.0</v>
      </c>
      <c r="B2" s="2585">
        <v>5.0</v>
      </c>
      <c r="C2" s="2585">
        <v>100.0</v>
      </c>
      <c r="F2" s="1387" t="s">
        <v>942</v>
      </c>
      <c r="M2" s="439" t="s">
        <v>437</v>
      </c>
    </row>
    <row r="3" ht="41.25" customHeight="1">
      <c r="A3" s="2585">
        <v>6.0</v>
      </c>
      <c r="B3" s="2585">
        <v>10.0</v>
      </c>
      <c r="C3" s="2585">
        <v>95.0</v>
      </c>
      <c r="L3" s="34" t="s">
        <v>943</v>
      </c>
      <c r="M3" s="1780" t="s">
        <v>944</v>
      </c>
      <c r="N3" s="1780" t="s">
        <v>945</v>
      </c>
      <c r="S3" s="852" t="s">
        <v>946</v>
      </c>
      <c r="T3" s="852" t="s">
        <v>947</v>
      </c>
      <c r="U3" s="852" t="s">
        <v>948</v>
      </c>
      <c r="V3" s="852" t="s">
        <v>949</v>
      </c>
      <c r="W3" s="852" t="s">
        <v>950</v>
      </c>
      <c r="X3" s="852" t="s">
        <v>951</v>
      </c>
      <c r="Y3" s="852" t="s">
        <v>952</v>
      </c>
      <c r="Z3" s="852" t="s">
        <v>953</v>
      </c>
      <c r="AA3" s="852" t="s">
        <v>954</v>
      </c>
      <c r="AB3" s="852" t="s">
        <v>955</v>
      </c>
      <c r="AC3" s="852" t="s">
        <v>956</v>
      </c>
      <c r="AD3" s="852" t="s">
        <v>957</v>
      </c>
      <c r="AE3" s="2586" t="s">
        <v>958</v>
      </c>
      <c r="AF3" s="852" t="s">
        <v>959</v>
      </c>
      <c r="AG3" s="852" t="s">
        <v>960</v>
      </c>
      <c r="AH3" s="852" t="s">
        <v>961</v>
      </c>
      <c r="AI3" s="852"/>
    </row>
    <row r="4" ht="13.5" customHeight="1">
      <c r="A4" s="2585">
        <v>11.0</v>
      </c>
      <c r="B4" s="2585">
        <v>15.0</v>
      </c>
      <c r="C4" s="2585">
        <v>90.0</v>
      </c>
      <c r="F4" s="10" t="s">
        <v>962</v>
      </c>
    </row>
    <row r="5" ht="13.5" customHeight="1">
      <c r="A5" s="2585">
        <v>16.0</v>
      </c>
      <c r="B5" s="2585">
        <v>20.0</v>
      </c>
      <c r="C5" s="2585">
        <v>85.0</v>
      </c>
      <c r="F5" s="34" t="s">
        <v>963</v>
      </c>
      <c r="L5" s="2392" t="s">
        <v>964</v>
      </c>
      <c r="M5" s="2392" t="s">
        <v>965</v>
      </c>
      <c r="N5" s="2392" t="s">
        <v>965</v>
      </c>
      <c r="O5" s="2392"/>
    </row>
    <row r="6" ht="13.5" customHeight="1">
      <c r="A6" s="2585">
        <v>21.0</v>
      </c>
      <c r="B6" s="2585">
        <v>30.0</v>
      </c>
      <c r="C6" s="2585">
        <v>80.0</v>
      </c>
      <c r="F6" s="34" t="s">
        <v>966</v>
      </c>
      <c r="L6" s="2392" t="s">
        <v>967</v>
      </c>
      <c r="M6" s="2392" t="s">
        <v>968</v>
      </c>
      <c r="N6" s="2392" t="s">
        <v>968</v>
      </c>
      <c r="O6" s="2392"/>
    </row>
    <row r="7" ht="12.75" customHeight="1">
      <c r="A7" s="2585">
        <v>31.0</v>
      </c>
      <c r="B7" s="2585">
        <v>60.0</v>
      </c>
      <c r="C7" s="2585">
        <v>75.0</v>
      </c>
      <c r="F7" s="34" t="s">
        <v>782</v>
      </c>
      <c r="L7" s="2392" t="s">
        <v>969</v>
      </c>
      <c r="M7" s="2392" t="s">
        <v>970</v>
      </c>
      <c r="N7" s="2392" t="s">
        <v>970</v>
      </c>
      <c r="O7" s="2392"/>
    </row>
    <row r="8" ht="12.75" customHeight="1">
      <c r="A8" s="34" t="s">
        <v>971</v>
      </c>
      <c r="C8" s="103"/>
      <c r="F8" s="34" t="s">
        <v>972</v>
      </c>
      <c r="L8" s="2392" t="s">
        <v>973</v>
      </c>
      <c r="M8" s="2392" t="s">
        <v>974</v>
      </c>
      <c r="N8" s="2392" t="s">
        <v>975</v>
      </c>
      <c r="O8" s="2392"/>
    </row>
    <row r="9" ht="12.75" customHeight="1">
      <c r="A9" s="2585">
        <v>0.0</v>
      </c>
      <c r="B9" s="2585">
        <v>5.0</v>
      </c>
      <c r="C9" s="2585">
        <v>100.0</v>
      </c>
      <c r="F9" s="34" t="s">
        <v>976</v>
      </c>
      <c r="L9" s="2392" t="s">
        <v>977</v>
      </c>
      <c r="M9" s="2392" t="s">
        <v>974</v>
      </c>
      <c r="N9" s="2392" t="s">
        <v>978</v>
      </c>
      <c r="O9" s="2392"/>
    </row>
    <row r="10" ht="12.75" customHeight="1">
      <c r="A10" s="2585">
        <v>6.0</v>
      </c>
      <c r="B10" s="2585">
        <v>10.0</v>
      </c>
      <c r="C10" s="2585">
        <v>95.0</v>
      </c>
      <c r="F10" s="1780" t="s">
        <v>979</v>
      </c>
      <c r="L10" s="2392" t="s">
        <v>980</v>
      </c>
      <c r="M10" s="2392" t="s">
        <v>981</v>
      </c>
      <c r="N10" s="2392" t="s">
        <v>981</v>
      </c>
      <c r="O10" s="2392"/>
    </row>
    <row r="11" ht="12.75" customHeight="1">
      <c r="A11" s="2585">
        <v>11.0</v>
      </c>
      <c r="B11" s="2585">
        <v>15.0</v>
      </c>
      <c r="C11" s="2585">
        <v>90.0</v>
      </c>
      <c r="F11" s="34" t="s">
        <v>982</v>
      </c>
      <c r="L11" s="2392" t="s">
        <v>983</v>
      </c>
      <c r="M11" s="2392" t="s">
        <v>984</v>
      </c>
      <c r="N11" s="2392" t="s">
        <v>984</v>
      </c>
      <c r="O11" s="2392"/>
    </row>
    <row r="12" ht="12.75" customHeight="1">
      <c r="A12" s="2585">
        <v>16.0</v>
      </c>
      <c r="B12" s="2585">
        <v>20.0</v>
      </c>
      <c r="C12" s="2585">
        <v>85.0</v>
      </c>
      <c r="F12" s="34" t="s">
        <v>985</v>
      </c>
      <c r="L12" s="2392" t="s">
        <v>986</v>
      </c>
      <c r="M12" s="2392" t="s">
        <v>987</v>
      </c>
      <c r="N12" s="2392" t="s">
        <v>987</v>
      </c>
      <c r="O12" s="2392"/>
    </row>
    <row r="13" ht="12.75" customHeight="1">
      <c r="A13" s="2585">
        <v>21.0</v>
      </c>
      <c r="B13" s="2585">
        <v>30.0</v>
      </c>
      <c r="C13" s="2585">
        <v>80.0</v>
      </c>
      <c r="F13" s="34" t="s">
        <v>988</v>
      </c>
      <c r="L13" s="2392" t="s">
        <v>989</v>
      </c>
      <c r="M13" s="2392" t="s">
        <v>990</v>
      </c>
      <c r="N13" s="2392" t="s">
        <v>990</v>
      </c>
      <c r="O13" s="2392"/>
      <c r="S13" s="10">
        <v>20.0</v>
      </c>
      <c r="T13" s="10">
        <v>4.0</v>
      </c>
      <c r="U13" s="2587">
        <v>1600.0</v>
      </c>
      <c r="V13" s="10">
        <v>40.0</v>
      </c>
      <c r="W13" s="2587">
        <v>1600.0</v>
      </c>
      <c r="Y13" s="10">
        <v>0.25</v>
      </c>
      <c r="AA13" s="10">
        <v>0.5</v>
      </c>
      <c r="AC13" s="10">
        <v>4.0</v>
      </c>
      <c r="AD13" s="10">
        <v>10.0</v>
      </c>
      <c r="AE13" s="2588">
        <v>0.8</v>
      </c>
      <c r="AF13" s="10">
        <v>10.0</v>
      </c>
      <c r="AG13" s="10">
        <v>5.0</v>
      </c>
      <c r="AH13" s="10" t="s">
        <v>991</v>
      </c>
    </row>
    <row r="14" ht="12.75" customHeight="1">
      <c r="A14" s="2585">
        <v>31.0</v>
      </c>
      <c r="B14" s="2585">
        <v>60.0</v>
      </c>
      <c r="C14" s="2585">
        <v>75.0</v>
      </c>
      <c r="F14" s="1780" t="s">
        <v>992</v>
      </c>
      <c r="L14" s="2392" t="s">
        <v>993</v>
      </c>
      <c r="M14" s="2392" t="s">
        <v>994</v>
      </c>
      <c r="N14" s="2392" t="s">
        <v>995</v>
      </c>
      <c r="O14" s="2392"/>
      <c r="T14" s="10" t="s">
        <v>996</v>
      </c>
      <c r="U14" s="2587">
        <v>10000.0</v>
      </c>
      <c r="Y14" s="10">
        <v>0.15</v>
      </c>
      <c r="AA14" s="10">
        <v>0.3</v>
      </c>
      <c r="AD14" s="10">
        <v>10.0</v>
      </c>
      <c r="AF14" s="10">
        <v>5.0</v>
      </c>
      <c r="AG14" s="10">
        <v>10.0</v>
      </c>
      <c r="AH14" s="34" t="s">
        <v>991</v>
      </c>
    </row>
    <row r="15" ht="12.75" customHeight="1">
      <c r="A15" s="2589" t="s">
        <v>997</v>
      </c>
      <c r="F15" s="34" t="s">
        <v>998</v>
      </c>
      <c r="L15" s="2392" t="s">
        <v>999</v>
      </c>
      <c r="M15" s="2392" t="s">
        <v>994</v>
      </c>
      <c r="N15" s="2392" t="s">
        <v>1000</v>
      </c>
      <c r="O15" s="2392"/>
      <c r="T15" s="10" t="s">
        <v>1001</v>
      </c>
      <c r="U15" s="2587">
        <v>7500.0</v>
      </c>
      <c r="Y15" s="10">
        <v>0.2</v>
      </c>
      <c r="AA15" s="10">
        <v>0.6</v>
      </c>
      <c r="AD15" s="10">
        <v>10.0</v>
      </c>
      <c r="AF15" s="10">
        <v>5.0</v>
      </c>
      <c r="AG15" s="10">
        <v>10.0</v>
      </c>
      <c r="AH15" s="34" t="s">
        <v>991</v>
      </c>
    </row>
    <row r="16" ht="13.5" customHeight="1">
      <c r="F16" s="34" t="s">
        <v>1002</v>
      </c>
      <c r="L16" s="2392" t="s">
        <v>1003</v>
      </c>
      <c r="M16" s="2392" t="s">
        <v>994</v>
      </c>
      <c r="N16" s="2392" t="s">
        <v>1004</v>
      </c>
      <c r="O16" s="2392"/>
      <c r="R16" s="2588"/>
      <c r="T16" s="10" t="s">
        <v>1005</v>
      </c>
      <c r="U16" s="2587">
        <v>5000.0</v>
      </c>
      <c r="Y16" s="10">
        <v>0.25</v>
      </c>
      <c r="AA16" s="10">
        <v>1.0</v>
      </c>
      <c r="AD16" s="10">
        <v>5.0</v>
      </c>
      <c r="AF16" s="10">
        <v>3.0</v>
      </c>
      <c r="AG16" s="10">
        <v>10.0</v>
      </c>
      <c r="AH16" s="34" t="s">
        <v>991</v>
      </c>
    </row>
    <row r="17" ht="12.75" customHeight="1">
      <c r="A17" s="2392" t="s">
        <v>693</v>
      </c>
      <c r="F17" s="34" t="s">
        <v>1006</v>
      </c>
      <c r="L17" s="2392" t="s">
        <v>1007</v>
      </c>
      <c r="M17" s="2392" t="s">
        <v>994</v>
      </c>
      <c r="N17" s="2392" t="s">
        <v>1008</v>
      </c>
      <c r="O17" s="2392"/>
      <c r="T17" s="10" t="s">
        <v>1009</v>
      </c>
      <c r="U17" s="2587">
        <v>3000.0</v>
      </c>
      <c r="Y17" s="10">
        <v>0.3</v>
      </c>
      <c r="AA17" s="10">
        <v>1.2</v>
      </c>
      <c r="AD17" s="10">
        <v>5.0</v>
      </c>
      <c r="AF17" s="10">
        <v>3.0</v>
      </c>
      <c r="AG17" s="10">
        <v>10.0</v>
      </c>
      <c r="AH17" s="34" t="s">
        <v>991</v>
      </c>
    </row>
    <row r="18" ht="12.75" customHeight="1">
      <c r="A18" s="2392" t="s">
        <v>1010</v>
      </c>
      <c r="F18" s="34" t="s">
        <v>1011</v>
      </c>
      <c r="L18" s="2392" t="s">
        <v>1012</v>
      </c>
      <c r="M18" s="2392" t="s">
        <v>1013</v>
      </c>
      <c r="N18" s="2392" t="s">
        <v>1014</v>
      </c>
      <c r="O18" s="2392"/>
      <c r="S18" s="10">
        <v>20.0</v>
      </c>
      <c r="T18" s="10">
        <v>4.0</v>
      </c>
      <c r="U18" s="10" t="s">
        <v>1015</v>
      </c>
      <c r="V18" s="2590">
        <v>50.0</v>
      </c>
      <c r="W18" s="10" t="s">
        <v>1015</v>
      </c>
      <c r="Y18" s="10">
        <v>0.2</v>
      </c>
      <c r="AA18" s="10">
        <v>0.4</v>
      </c>
      <c r="AB18" s="10" t="s">
        <v>1016</v>
      </c>
      <c r="AC18" s="741">
        <v>4.0</v>
      </c>
      <c r="AD18" s="10">
        <v>5.0</v>
      </c>
      <c r="AE18" s="2588">
        <v>0.8</v>
      </c>
      <c r="AF18" s="10">
        <v>10.0</v>
      </c>
      <c r="AG18" s="10">
        <v>10.0</v>
      </c>
      <c r="AH18" s="10" t="s">
        <v>1017</v>
      </c>
    </row>
    <row r="19" ht="12.75" customHeight="1">
      <c r="A19" s="2392" t="s">
        <v>1018</v>
      </c>
      <c r="F19" s="34" t="s">
        <v>1019</v>
      </c>
      <c r="L19" s="2392" t="s">
        <v>127</v>
      </c>
      <c r="M19" s="2392" t="s">
        <v>1020</v>
      </c>
      <c r="N19" s="2392" t="s">
        <v>1021</v>
      </c>
      <c r="O19" s="2392"/>
      <c r="S19" s="10">
        <v>50.0</v>
      </c>
      <c r="T19" s="10">
        <v>10.0</v>
      </c>
      <c r="U19" s="10" t="s">
        <v>1022</v>
      </c>
      <c r="V19" s="2590">
        <v>20.0</v>
      </c>
      <c r="W19" s="10" t="s">
        <v>1022</v>
      </c>
      <c r="Y19" s="10">
        <v>0.4</v>
      </c>
      <c r="AA19" s="10">
        <v>0.8</v>
      </c>
      <c r="AB19" s="10" t="s">
        <v>1016</v>
      </c>
      <c r="AC19" s="741">
        <v>4.0</v>
      </c>
      <c r="AD19" s="10" t="s">
        <v>1023</v>
      </c>
      <c r="AE19" s="2588">
        <v>0.6</v>
      </c>
      <c r="AF19" s="10">
        <v>2.5</v>
      </c>
      <c r="AG19" s="10">
        <v>3.0</v>
      </c>
      <c r="AH19" s="10" t="s">
        <v>991</v>
      </c>
    </row>
    <row r="20" ht="12.75" customHeight="1">
      <c r="A20" s="2392" t="s">
        <v>519</v>
      </c>
      <c r="F20" s="34" t="s">
        <v>1024</v>
      </c>
      <c r="L20" s="2392" t="s">
        <v>1025</v>
      </c>
      <c r="M20" s="2392" t="s">
        <v>1020</v>
      </c>
      <c r="N20" s="2392" t="s">
        <v>1026</v>
      </c>
      <c r="O20" s="2392"/>
      <c r="S20" s="10">
        <v>75.0</v>
      </c>
      <c r="T20" s="10">
        <v>15.0</v>
      </c>
      <c r="U20" s="10" t="s">
        <v>1027</v>
      </c>
      <c r="V20" s="2590">
        <v>20.0</v>
      </c>
      <c r="W20" s="10" t="s">
        <v>1028</v>
      </c>
      <c r="Y20" s="10">
        <v>0.4</v>
      </c>
      <c r="AA20" s="10">
        <v>0.8</v>
      </c>
      <c r="AB20" s="10" t="s">
        <v>1016</v>
      </c>
      <c r="AC20" s="741" t="s">
        <v>1029</v>
      </c>
      <c r="AD20" s="10" t="s">
        <v>1023</v>
      </c>
      <c r="AE20" s="2588">
        <v>0.5</v>
      </c>
      <c r="AF20" s="10">
        <v>2.5</v>
      </c>
      <c r="AG20" s="10">
        <v>3.0</v>
      </c>
      <c r="AH20" s="10" t="s">
        <v>991</v>
      </c>
    </row>
    <row r="21" ht="12.75" customHeight="1">
      <c r="A21" s="703"/>
      <c r="F21" s="34" t="s">
        <v>1030</v>
      </c>
      <c r="L21" s="2392" t="s">
        <v>1031</v>
      </c>
      <c r="M21" s="2392" t="s">
        <v>1020</v>
      </c>
      <c r="N21" s="2392" t="s">
        <v>1032</v>
      </c>
      <c r="O21" s="2392"/>
      <c r="S21" s="10">
        <v>100.0</v>
      </c>
      <c r="T21" s="10">
        <v>20.0</v>
      </c>
      <c r="U21" s="10" t="s">
        <v>1033</v>
      </c>
      <c r="V21" s="2590">
        <v>40.0</v>
      </c>
      <c r="W21" s="10" t="s">
        <v>1034</v>
      </c>
      <c r="Y21" s="10">
        <v>0.4</v>
      </c>
      <c r="AA21" s="10">
        <v>1.2</v>
      </c>
      <c r="AB21" s="10" t="s">
        <v>1016</v>
      </c>
      <c r="AC21" s="741" t="s">
        <v>1029</v>
      </c>
      <c r="AD21" s="10" t="s">
        <v>1023</v>
      </c>
      <c r="AE21" s="2588">
        <v>0.5</v>
      </c>
      <c r="AF21" s="10">
        <v>2.5</v>
      </c>
      <c r="AG21" s="10">
        <v>3.0</v>
      </c>
      <c r="AH21" s="10" t="s">
        <v>991</v>
      </c>
    </row>
    <row r="22" ht="13.5" customHeight="1">
      <c r="A22" s="2591" t="s">
        <v>1035</v>
      </c>
      <c r="F22" s="34" t="s">
        <v>1036</v>
      </c>
      <c r="L22" s="2392" t="s">
        <v>1037</v>
      </c>
      <c r="M22" s="2392" t="s">
        <v>1038</v>
      </c>
      <c r="N22" s="2392" t="s">
        <v>1021</v>
      </c>
      <c r="O22" s="2392"/>
      <c r="S22" s="10">
        <v>95.0</v>
      </c>
      <c r="T22" s="10">
        <v>19.0</v>
      </c>
      <c r="U22" s="10" t="s">
        <v>1034</v>
      </c>
      <c r="V22" s="2590">
        <v>10.0</v>
      </c>
      <c r="W22" s="10" t="s">
        <v>1034</v>
      </c>
      <c r="Y22" s="10">
        <v>0.6</v>
      </c>
      <c r="AA22" s="10">
        <v>1.2</v>
      </c>
      <c r="AB22" s="10" t="s">
        <v>1016</v>
      </c>
      <c r="AC22" s="741">
        <v>3.0</v>
      </c>
      <c r="AD22" s="10">
        <v>5.0</v>
      </c>
      <c r="AE22" s="2588">
        <v>0.5</v>
      </c>
      <c r="AF22" s="10" t="s">
        <v>1039</v>
      </c>
      <c r="AG22" s="10">
        <v>3.0</v>
      </c>
      <c r="AH22" s="10" t="s">
        <v>1040</v>
      </c>
    </row>
    <row r="23" ht="12.75" customHeight="1">
      <c r="A23" s="703" t="s">
        <v>1041</v>
      </c>
      <c r="F23" s="34" t="s">
        <v>1042</v>
      </c>
      <c r="L23" s="2392" t="s">
        <v>1043</v>
      </c>
      <c r="M23" s="2392" t="s">
        <v>1038</v>
      </c>
      <c r="N23" s="2392" t="s">
        <v>1026</v>
      </c>
      <c r="O23" s="2392"/>
      <c r="S23" s="10">
        <v>115.0</v>
      </c>
      <c r="T23" s="10">
        <v>23.0</v>
      </c>
      <c r="U23" s="10" t="s">
        <v>1044</v>
      </c>
      <c r="V23" s="2590">
        <v>10.0</v>
      </c>
      <c r="W23" s="10" t="s">
        <v>1045</v>
      </c>
      <c r="Y23" s="10">
        <v>0.6</v>
      </c>
      <c r="AA23" s="10">
        <v>1.2</v>
      </c>
      <c r="AB23" s="10" t="s">
        <v>1016</v>
      </c>
      <c r="AC23" s="741" t="s">
        <v>1046</v>
      </c>
      <c r="AD23" s="2588" t="s">
        <v>1023</v>
      </c>
      <c r="AE23" s="2588">
        <v>0.4</v>
      </c>
      <c r="AF23" s="10" t="s">
        <v>1039</v>
      </c>
      <c r="AG23" s="10">
        <v>3.0</v>
      </c>
      <c r="AH23" s="10" t="s">
        <v>1040</v>
      </c>
    </row>
    <row r="24" ht="12.75" customHeight="1">
      <c r="A24" s="703" t="s">
        <v>1047</v>
      </c>
      <c r="F24" s="34" t="s">
        <v>1048</v>
      </c>
      <c r="L24" s="2392" t="s">
        <v>1049</v>
      </c>
      <c r="M24" s="2392" t="s">
        <v>1038</v>
      </c>
      <c r="N24" s="2392" t="s">
        <v>1032</v>
      </c>
      <c r="O24" s="2392"/>
      <c r="S24" s="10">
        <v>140.0</v>
      </c>
      <c r="T24" s="10">
        <v>28.0</v>
      </c>
      <c r="U24" s="10" t="s">
        <v>1027</v>
      </c>
      <c r="V24" s="2590">
        <v>20.0</v>
      </c>
      <c r="W24" s="10" t="s">
        <v>1050</v>
      </c>
      <c r="Y24" s="10">
        <v>0.6</v>
      </c>
      <c r="AA24" s="10">
        <v>1.8</v>
      </c>
      <c r="AB24" s="10" t="s">
        <v>1016</v>
      </c>
      <c r="AC24" s="2592" t="s">
        <v>1046</v>
      </c>
      <c r="AD24" s="2588" t="s">
        <v>1023</v>
      </c>
      <c r="AE24" s="2588">
        <v>0.4</v>
      </c>
      <c r="AF24" s="10" t="s">
        <v>1039</v>
      </c>
      <c r="AG24" s="10">
        <v>3.0</v>
      </c>
      <c r="AH24" s="10" t="s">
        <v>1051</v>
      </c>
    </row>
    <row r="25" ht="13.5" customHeight="1">
      <c r="A25" s="703" t="s">
        <v>1052</v>
      </c>
      <c r="F25" s="34" t="s">
        <v>1053</v>
      </c>
      <c r="L25" s="2392" t="s">
        <v>1054</v>
      </c>
      <c r="M25" s="2392" t="s">
        <v>1055</v>
      </c>
      <c r="N25" s="2392" t="s">
        <v>1021</v>
      </c>
      <c r="O25" s="2392"/>
      <c r="S25" s="10">
        <v>195.0</v>
      </c>
      <c r="T25" s="10">
        <v>39.0</v>
      </c>
      <c r="U25" s="10" t="s">
        <v>1056</v>
      </c>
      <c r="V25" s="2590">
        <v>8.0</v>
      </c>
      <c r="W25" s="10" t="s">
        <v>1056</v>
      </c>
      <c r="Y25" s="10">
        <v>0.7</v>
      </c>
      <c r="AA25" s="10">
        <v>1.4</v>
      </c>
      <c r="AB25" s="10" t="s">
        <v>1016</v>
      </c>
      <c r="AC25" s="741">
        <v>2.0</v>
      </c>
      <c r="AD25" s="2588">
        <v>3.0</v>
      </c>
      <c r="AE25" s="2588">
        <v>0.4</v>
      </c>
      <c r="AF25" s="10" t="s">
        <v>1039</v>
      </c>
      <c r="AG25" s="10">
        <v>3.0</v>
      </c>
      <c r="AH25" s="10" t="s">
        <v>1040</v>
      </c>
    </row>
    <row r="26" ht="12.75" customHeight="1">
      <c r="A26" s="703" t="s">
        <v>1057</v>
      </c>
      <c r="F26" s="34" t="s">
        <v>1058</v>
      </c>
      <c r="L26" s="2392" t="s">
        <v>1059</v>
      </c>
      <c r="M26" s="2392" t="s">
        <v>1055</v>
      </c>
      <c r="N26" s="2392" t="s">
        <v>1026</v>
      </c>
      <c r="O26" s="2392"/>
      <c r="S26" s="10">
        <v>210.0</v>
      </c>
      <c r="T26" s="10">
        <v>42.0</v>
      </c>
      <c r="U26" s="10" t="s">
        <v>1060</v>
      </c>
      <c r="V26" s="2590">
        <v>8.0</v>
      </c>
      <c r="W26" s="10" t="s">
        <v>1061</v>
      </c>
      <c r="Y26" s="10">
        <v>0.7</v>
      </c>
      <c r="AA26" s="10">
        <v>1.4</v>
      </c>
      <c r="AB26" s="2588" t="s">
        <v>1016</v>
      </c>
      <c r="AC26" s="741" t="s">
        <v>1062</v>
      </c>
      <c r="AD26" s="10" t="s">
        <v>1063</v>
      </c>
      <c r="AE26" s="2588">
        <v>0.3</v>
      </c>
      <c r="AF26" s="10" t="s">
        <v>1039</v>
      </c>
      <c r="AG26" s="10">
        <v>3.0</v>
      </c>
      <c r="AH26" s="10" t="s">
        <v>1040</v>
      </c>
      <c r="AJ26" s="2588"/>
      <c r="AL26" s="2588"/>
    </row>
    <row r="27" ht="12.75" customHeight="1">
      <c r="A27" s="703" t="s">
        <v>1064</v>
      </c>
      <c r="F27" s="34" t="s">
        <v>1065</v>
      </c>
      <c r="L27" s="2392" t="s">
        <v>1066</v>
      </c>
      <c r="M27" s="2392" t="s">
        <v>1055</v>
      </c>
      <c r="N27" s="2392" t="s">
        <v>1032</v>
      </c>
      <c r="O27" s="2392"/>
      <c r="S27" s="10">
        <v>270.0</v>
      </c>
      <c r="T27" s="10">
        <v>54.0</v>
      </c>
      <c r="U27" s="10" t="s">
        <v>1067</v>
      </c>
      <c r="V27" s="2590">
        <v>16.0</v>
      </c>
      <c r="W27" s="10" t="s">
        <v>1068</v>
      </c>
      <c r="Y27" s="10">
        <v>0.7</v>
      </c>
      <c r="AA27" s="10">
        <v>2.1</v>
      </c>
      <c r="AB27" s="2588" t="s">
        <v>1016</v>
      </c>
      <c r="AC27" s="741" t="s">
        <v>1069</v>
      </c>
      <c r="AD27" s="10" t="s">
        <v>1063</v>
      </c>
      <c r="AE27" s="2588">
        <v>0.3</v>
      </c>
      <c r="AF27" s="10" t="s">
        <v>1039</v>
      </c>
      <c r="AG27" s="10">
        <v>3.0</v>
      </c>
      <c r="AH27" s="10" t="s">
        <v>1051</v>
      </c>
      <c r="AJ27" s="2588"/>
    </row>
    <row r="28" ht="13.5" customHeight="1">
      <c r="F28" s="1780" t="s">
        <v>1070</v>
      </c>
      <c r="L28" s="2593" t="s">
        <v>786</v>
      </c>
      <c r="M28" s="2392" t="s">
        <v>1071</v>
      </c>
      <c r="N28" s="2392"/>
      <c r="O28" s="2392"/>
      <c r="S28" s="10">
        <v>290.0</v>
      </c>
      <c r="T28" s="10">
        <v>58.0</v>
      </c>
      <c r="U28" s="10" t="s">
        <v>695</v>
      </c>
      <c r="V28" s="2590">
        <v>6.0</v>
      </c>
      <c r="W28" s="10" t="s">
        <v>695</v>
      </c>
      <c r="Y28" s="10">
        <v>0.8</v>
      </c>
      <c r="AA28" s="10">
        <v>1.6</v>
      </c>
      <c r="AB28" s="10" t="s">
        <v>1016</v>
      </c>
      <c r="AC28" s="741">
        <v>1.0</v>
      </c>
      <c r="AD28" s="2588" t="s">
        <v>1072</v>
      </c>
      <c r="AE28" s="2588">
        <v>0.3</v>
      </c>
      <c r="AF28" s="10" t="s">
        <v>1073</v>
      </c>
      <c r="AG28" s="10">
        <v>3.0</v>
      </c>
      <c r="AH28" s="10" t="s">
        <v>1074</v>
      </c>
      <c r="AJ28" s="2588"/>
    </row>
    <row r="29" ht="12.75" customHeight="1">
      <c r="A29" s="439" t="s">
        <v>1075</v>
      </c>
      <c r="F29" s="34" t="s">
        <v>1076</v>
      </c>
      <c r="L29" s="2392" t="s">
        <v>1077</v>
      </c>
      <c r="M29" s="2392" t="s">
        <v>1071</v>
      </c>
      <c r="N29" s="2392" t="s">
        <v>1026</v>
      </c>
      <c r="O29" s="2392"/>
      <c r="S29" s="10">
        <v>435.0</v>
      </c>
      <c r="T29" s="10">
        <v>87.0</v>
      </c>
      <c r="U29" s="10" t="s">
        <v>1068</v>
      </c>
      <c r="V29" s="2590">
        <v>8.0</v>
      </c>
      <c r="W29" s="10" t="s">
        <v>1078</v>
      </c>
      <c r="Y29" s="10">
        <v>0.8</v>
      </c>
      <c r="AA29" s="10">
        <v>1.6</v>
      </c>
      <c r="AB29" s="2588" t="s">
        <v>1016</v>
      </c>
      <c r="AC29" s="2592" t="s">
        <v>1079</v>
      </c>
      <c r="AD29" s="10" t="s">
        <v>1080</v>
      </c>
      <c r="AE29" s="2588">
        <v>0.2</v>
      </c>
      <c r="AF29" s="10" t="s">
        <v>1073</v>
      </c>
      <c r="AG29" s="10">
        <v>3.0</v>
      </c>
      <c r="AH29" s="10" t="s">
        <v>1074</v>
      </c>
      <c r="AJ29" s="2588"/>
    </row>
    <row r="30" ht="12.75" customHeight="1">
      <c r="A30" s="10" t="s">
        <v>1081</v>
      </c>
      <c r="F30" s="34" t="s">
        <v>1082</v>
      </c>
      <c r="L30" s="2392" t="s">
        <v>1083</v>
      </c>
      <c r="M30" s="2392" t="s">
        <v>1071</v>
      </c>
      <c r="N30" s="2392" t="s">
        <v>1032</v>
      </c>
      <c r="O30" s="2392"/>
      <c r="S30" s="10">
        <v>520.0</v>
      </c>
      <c r="T30" s="10">
        <v>104.0</v>
      </c>
      <c r="U30" s="10" t="s">
        <v>1050</v>
      </c>
      <c r="V30" s="2590">
        <v>12.0</v>
      </c>
      <c r="W30" s="10" t="s">
        <v>1084</v>
      </c>
      <c r="Y30" s="10">
        <v>0.8</v>
      </c>
      <c r="AA30" s="10">
        <v>2.4</v>
      </c>
      <c r="AB30" s="10" t="s">
        <v>1016</v>
      </c>
      <c r="AC30" s="2592" t="s">
        <v>1079</v>
      </c>
      <c r="AD30" s="2588" t="s">
        <v>1080</v>
      </c>
      <c r="AE30" s="2588">
        <v>0.2</v>
      </c>
      <c r="AF30" s="10" t="s">
        <v>1073</v>
      </c>
      <c r="AG30" s="10">
        <v>3.0</v>
      </c>
      <c r="AH30" s="10" t="s">
        <v>1085</v>
      </c>
      <c r="AL30" s="2588"/>
    </row>
    <row r="31" ht="13.5" customHeight="1">
      <c r="A31" s="10" t="s">
        <v>1086</v>
      </c>
      <c r="F31" s="34" t="s">
        <v>1087</v>
      </c>
      <c r="L31" s="2392" t="s">
        <v>1088</v>
      </c>
      <c r="M31" s="2392" t="s">
        <v>1089</v>
      </c>
      <c r="N31" s="2593" t="s">
        <v>1090</v>
      </c>
      <c r="O31" s="2392"/>
      <c r="S31" s="34" t="s">
        <v>1027</v>
      </c>
      <c r="T31" s="2594">
        <v>20.0</v>
      </c>
      <c r="U31" s="34"/>
      <c r="V31" s="34">
        <v>0.4</v>
      </c>
      <c r="W31" s="34"/>
      <c r="X31" s="34">
        <v>1.2</v>
      </c>
      <c r="Y31" s="34">
        <v>0.4</v>
      </c>
      <c r="Z31" s="34" t="s">
        <v>1016</v>
      </c>
      <c r="AA31" s="34">
        <v>1.2</v>
      </c>
      <c r="AB31" s="2588" t="s">
        <v>1091</v>
      </c>
      <c r="AC31" s="2588">
        <v>0.5</v>
      </c>
      <c r="AD31" s="2588" t="s">
        <v>1092</v>
      </c>
      <c r="AE31" s="34">
        <v>4.0</v>
      </c>
      <c r="AF31" s="34" t="s">
        <v>1093</v>
      </c>
    </row>
    <row r="32" ht="12.75" customHeight="1">
      <c r="A32" s="10" t="s">
        <v>1094</v>
      </c>
      <c r="F32" s="1780" t="s">
        <v>1095</v>
      </c>
      <c r="L32" s="2392" t="s">
        <v>1096</v>
      </c>
      <c r="M32" s="2392" t="s">
        <v>1089</v>
      </c>
      <c r="N32" s="2392" t="s">
        <v>1097</v>
      </c>
      <c r="O32" s="2392"/>
      <c r="S32" s="34" t="s">
        <v>1034</v>
      </c>
      <c r="T32" s="2594">
        <v>10.0</v>
      </c>
      <c r="U32" s="34"/>
      <c r="V32" s="34">
        <v>0.6</v>
      </c>
      <c r="W32" s="34"/>
      <c r="X32" s="34">
        <v>1.8</v>
      </c>
      <c r="Y32" s="34">
        <v>0.6</v>
      </c>
      <c r="Z32" s="34" t="s">
        <v>1016</v>
      </c>
      <c r="AA32" s="34">
        <v>1.8</v>
      </c>
      <c r="AB32" s="2588" t="s">
        <v>1091</v>
      </c>
      <c r="AC32" s="2588">
        <v>0.4</v>
      </c>
      <c r="AD32" s="2588" t="s">
        <v>1092</v>
      </c>
      <c r="AE32" s="34">
        <v>3.0</v>
      </c>
      <c r="AF32" s="34" t="s">
        <v>1093</v>
      </c>
    </row>
    <row r="33" ht="12.75" customHeight="1">
      <c r="A33" s="10" t="s">
        <v>1098</v>
      </c>
      <c r="F33" s="34" t="s">
        <v>1099</v>
      </c>
      <c r="L33" s="2392" t="s">
        <v>1100</v>
      </c>
      <c r="M33" s="2392" t="s">
        <v>1089</v>
      </c>
      <c r="N33" s="2392" t="s">
        <v>1101</v>
      </c>
      <c r="O33" s="2392"/>
      <c r="S33" s="34" t="s">
        <v>1102</v>
      </c>
      <c r="T33" s="2594">
        <v>10.0</v>
      </c>
      <c r="U33" s="34"/>
      <c r="V33" s="34">
        <v>0.7</v>
      </c>
      <c r="W33" s="34"/>
      <c r="X33" s="34">
        <v>2.1</v>
      </c>
      <c r="Y33" s="34">
        <v>0.7</v>
      </c>
      <c r="Z33" s="2588" t="s">
        <v>1016</v>
      </c>
      <c r="AA33" s="34">
        <v>2.1</v>
      </c>
      <c r="AB33" s="2588" t="s">
        <v>1091</v>
      </c>
      <c r="AC33" s="2588">
        <v>0.3</v>
      </c>
      <c r="AD33" s="2588" t="s">
        <v>1103</v>
      </c>
      <c r="AE33" s="34">
        <v>4.0</v>
      </c>
      <c r="AF33" s="34" t="s">
        <v>1093</v>
      </c>
    </row>
    <row r="34" ht="12.75" customHeight="1">
      <c r="A34" s="10" t="s">
        <v>1104</v>
      </c>
      <c r="F34" s="34" t="s">
        <v>1105</v>
      </c>
      <c r="L34" s="2392" t="s">
        <v>1106</v>
      </c>
      <c r="M34" s="2392" t="s">
        <v>1089</v>
      </c>
      <c r="N34" s="2392" t="s">
        <v>1107</v>
      </c>
      <c r="O34" s="2392"/>
      <c r="S34" s="34" t="s">
        <v>1108</v>
      </c>
      <c r="T34" s="2594">
        <v>8.0</v>
      </c>
      <c r="U34" s="34"/>
      <c r="V34" s="34">
        <v>0.8</v>
      </c>
      <c r="W34" s="34"/>
      <c r="X34" s="34">
        <v>2.4</v>
      </c>
      <c r="Y34" s="34">
        <v>0.8</v>
      </c>
      <c r="Z34" s="2588" t="s">
        <v>1016</v>
      </c>
      <c r="AA34" s="34">
        <v>2.4</v>
      </c>
      <c r="AB34" s="2588" t="s">
        <v>1091</v>
      </c>
      <c r="AC34" s="2588">
        <v>0.2</v>
      </c>
      <c r="AD34" s="34" t="s">
        <v>1092</v>
      </c>
      <c r="AE34" s="34">
        <v>3.0</v>
      </c>
      <c r="AF34" s="34" t="s">
        <v>1093</v>
      </c>
    </row>
    <row r="35" ht="12.75" customHeight="1">
      <c r="A35" s="1387" t="s">
        <v>1109</v>
      </c>
      <c r="C35" s="2283" t="s">
        <v>1110</v>
      </c>
      <c r="D35" s="2283" t="s">
        <v>1111</v>
      </c>
      <c r="F35" s="1780" t="s">
        <v>1112</v>
      </c>
      <c r="L35" s="2392" t="s">
        <v>1113</v>
      </c>
      <c r="M35" s="2392" t="s">
        <v>1114</v>
      </c>
      <c r="N35" s="2593" t="s">
        <v>1090</v>
      </c>
      <c r="O35" s="2392"/>
      <c r="S35" s="34" t="s">
        <v>1027</v>
      </c>
      <c r="T35" s="2594">
        <v>20.0</v>
      </c>
      <c r="U35" s="34"/>
      <c r="V35" s="34">
        <v>0.4</v>
      </c>
      <c r="W35" s="34"/>
      <c r="X35" s="82">
        <v>1.2</v>
      </c>
      <c r="Y35" s="34">
        <v>0.4</v>
      </c>
      <c r="Z35" s="2588" t="s">
        <v>1016</v>
      </c>
      <c r="AA35" s="82">
        <v>1.2</v>
      </c>
      <c r="AB35" s="2588" t="s">
        <v>1091</v>
      </c>
      <c r="AC35" s="2588">
        <v>0.5</v>
      </c>
      <c r="AD35" s="34" t="s">
        <v>1092</v>
      </c>
      <c r="AE35" s="34">
        <v>3.0</v>
      </c>
      <c r="AF35" s="34" t="s">
        <v>1093</v>
      </c>
    </row>
    <row r="36" ht="12.75" customHeight="1">
      <c r="A36" s="2392" t="s">
        <v>1115</v>
      </c>
      <c r="C36" s="6" t="s">
        <v>1116</v>
      </c>
      <c r="D36" s="6" t="s">
        <v>1117</v>
      </c>
      <c r="F36" s="34" t="s">
        <v>1118</v>
      </c>
      <c r="L36" s="2392" t="s">
        <v>1119</v>
      </c>
      <c r="M36" s="2392" t="s">
        <v>1114</v>
      </c>
      <c r="N36" s="2392" t="s">
        <v>1097</v>
      </c>
      <c r="O36" s="2392"/>
      <c r="S36" s="2588" t="s">
        <v>1022</v>
      </c>
      <c r="T36" s="2594">
        <v>15.0</v>
      </c>
      <c r="U36" s="34"/>
      <c r="V36" s="34">
        <v>0.6</v>
      </c>
      <c r="W36" s="2588"/>
      <c r="X36" s="82">
        <v>1.8</v>
      </c>
      <c r="Y36" s="34">
        <v>0.6</v>
      </c>
      <c r="Z36" s="2588" t="s">
        <v>1016</v>
      </c>
      <c r="AA36" s="82">
        <v>1.8</v>
      </c>
      <c r="AB36" s="2588" t="s">
        <v>1091</v>
      </c>
      <c r="AC36" s="2588">
        <v>0.4</v>
      </c>
      <c r="AD36" s="34" t="s">
        <v>1092</v>
      </c>
      <c r="AE36" s="34">
        <v>3.0</v>
      </c>
      <c r="AF36" s="34" t="s">
        <v>1093</v>
      </c>
    </row>
    <row r="37" ht="12.75" customHeight="1">
      <c r="A37" s="2392" t="s">
        <v>1120</v>
      </c>
      <c r="C37" s="6" t="s">
        <v>1121</v>
      </c>
      <c r="D37" s="6" t="s">
        <v>1122</v>
      </c>
      <c r="F37" s="34" t="s">
        <v>1123</v>
      </c>
      <c r="L37" s="2392" t="s">
        <v>1124</v>
      </c>
      <c r="M37" s="2392" t="s">
        <v>1114</v>
      </c>
      <c r="N37" s="2392" t="s">
        <v>1101</v>
      </c>
      <c r="O37" s="2392"/>
      <c r="S37" s="34" t="s">
        <v>1125</v>
      </c>
      <c r="T37" s="2594">
        <v>12.0</v>
      </c>
      <c r="U37" s="2588"/>
      <c r="V37" s="34">
        <v>0.7</v>
      </c>
      <c r="W37" s="2588"/>
      <c r="X37" s="82">
        <v>2.1</v>
      </c>
      <c r="Y37" s="34">
        <v>0.7</v>
      </c>
      <c r="Z37" s="34" t="s">
        <v>1016</v>
      </c>
      <c r="AA37" s="82">
        <v>2.1</v>
      </c>
      <c r="AB37" s="34" t="s">
        <v>1091</v>
      </c>
      <c r="AC37" s="2588">
        <v>0.3</v>
      </c>
      <c r="AD37" s="34" t="s">
        <v>1092</v>
      </c>
      <c r="AE37" s="34">
        <v>3.0</v>
      </c>
      <c r="AF37" s="34" t="s">
        <v>1093</v>
      </c>
    </row>
    <row r="38" ht="12.75" customHeight="1">
      <c r="A38" s="10" t="s">
        <v>1126</v>
      </c>
      <c r="C38" s="6" t="s">
        <v>1127</v>
      </c>
      <c r="D38" s="6" t="s">
        <v>1128</v>
      </c>
      <c r="F38" s="34" t="s">
        <v>1129</v>
      </c>
      <c r="L38" s="2392" t="s">
        <v>1130</v>
      </c>
      <c r="M38" s="2392" t="s">
        <v>1114</v>
      </c>
      <c r="N38" s="2392" t="s">
        <v>1107</v>
      </c>
      <c r="O38" s="2392"/>
      <c r="S38" s="2588" t="s">
        <v>1131</v>
      </c>
      <c r="T38" s="2594">
        <v>12.0</v>
      </c>
      <c r="U38" s="2588"/>
      <c r="V38" s="34">
        <v>0.8</v>
      </c>
      <c r="W38" s="2588"/>
      <c r="X38" s="82">
        <v>2.4</v>
      </c>
      <c r="Y38" s="34">
        <v>0.8</v>
      </c>
      <c r="Z38" s="34" t="s">
        <v>1016</v>
      </c>
      <c r="AA38" s="82">
        <v>2.4</v>
      </c>
      <c r="AB38" s="2588" t="s">
        <v>1091</v>
      </c>
      <c r="AC38" s="2588">
        <v>0.2</v>
      </c>
      <c r="AD38" s="34" t="s">
        <v>1092</v>
      </c>
      <c r="AE38" s="34">
        <v>3.0</v>
      </c>
      <c r="AF38" s="34" t="s">
        <v>1093</v>
      </c>
    </row>
    <row r="39" ht="12.75" customHeight="1">
      <c r="A39" s="10" t="s">
        <v>1132</v>
      </c>
      <c r="C39" s="6" t="s">
        <v>1133</v>
      </c>
      <c r="D39" s="6" t="s">
        <v>1134</v>
      </c>
      <c r="F39" s="34" t="s">
        <v>1135</v>
      </c>
      <c r="L39" s="2392" t="s">
        <v>1136</v>
      </c>
      <c r="M39" s="2392" t="s">
        <v>1114</v>
      </c>
      <c r="N39" s="2593" t="s">
        <v>1137</v>
      </c>
      <c r="O39" s="2392"/>
      <c r="S39" s="2588" t="s">
        <v>1131</v>
      </c>
      <c r="T39" s="2594">
        <v>12.0</v>
      </c>
      <c r="U39" s="2588"/>
      <c r="V39" s="34">
        <v>0.8</v>
      </c>
      <c r="W39" s="2588"/>
      <c r="X39" s="82">
        <v>3.2</v>
      </c>
      <c r="Y39" s="34">
        <v>0.8</v>
      </c>
      <c r="Z39" s="34" t="s">
        <v>1016</v>
      </c>
      <c r="AA39" s="82">
        <v>3.2</v>
      </c>
      <c r="AB39" s="2588" t="s">
        <v>1091</v>
      </c>
      <c r="AC39" s="2588">
        <v>0.2</v>
      </c>
      <c r="AD39" s="34" t="s">
        <v>1092</v>
      </c>
      <c r="AE39" s="34">
        <v>3.0</v>
      </c>
      <c r="AF39" s="34" t="s">
        <v>1093</v>
      </c>
    </row>
    <row r="40" ht="12.75" customHeight="1">
      <c r="A40" s="2392" t="s">
        <v>1138</v>
      </c>
      <c r="C40" s="6" t="s">
        <v>1139</v>
      </c>
      <c r="D40" s="6" t="s">
        <v>1140</v>
      </c>
      <c r="F40" s="34" t="s">
        <v>1141</v>
      </c>
      <c r="L40" s="2392" t="s">
        <v>1142</v>
      </c>
      <c r="M40" s="2392" t="s">
        <v>1143</v>
      </c>
      <c r="N40" s="2593" t="s">
        <v>1090</v>
      </c>
      <c r="O40" s="2392"/>
      <c r="S40" s="2588" t="s">
        <v>1027</v>
      </c>
      <c r="T40" s="2594">
        <v>20.0</v>
      </c>
      <c r="U40" s="2588"/>
      <c r="V40" s="34">
        <v>0.4</v>
      </c>
      <c r="W40" s="34"/>
      <c r="X40" s="82" t="s">
        <v>1144</v>
      </c>
      <c r="Y40" s="34">
        <v>0.4</v>
      </c>
      <c r="Z40" s="2588" t="s">
        <v>1016</v>
      </c>
      <c r="AA40" s="82" t="s">
        <v>1144</v>
      </c>
      <c r="AB40" s="2588" t="s">
        <v>1145</v>
      </c>
      <c r="AC40" s="2588">
        <v>0.5</v>
      </c>
      <c r="AD40" s="34" t="s">
        <v>1092</v>
      </c>
      <c r="AE40" s="34">
        <v>3.0</v>
      </c>
      <c r="AF40" s="34" t="s">
        <v>1093</v>
      </c>
    </row>
    <row r="41" ht="12.75" customHeight="1">
      <c r="A41" s="2392" t="s">
        <v>1146</v>
      </c>
      <c r="C41" s="6" t="s">
        <v>1147</v>
      </c>
      <c r="F41" s="34" t="s">
        <v>1148</v>
      </c>
      <c r="L41" s="2392" t="s">
        <v>1149</v>
      </c>
      <c r="M41" s="2392" t="s">
        <v>1143</v>
      </c>
      <c r="N41" s="2392" t="s">
        <v>1097</v>
      </c>
      <c r="O41" s="2392"/>
      <c r="S41" s="2588" t="s">
        <v>1022</v>
      </c>
      <c r="T41" s="2594">
        <v>15.0</v>
      </c>
      <c r="U41" s="2588"/>
      <c r="V41" s="34">
        <v>0.6</v>
      </c>
      <c r="W41" s="34"/>
      <c r="X41" s="82">
        <v>1.8</v>
      </c>
      <c r="Y41" s="34">
        <v>0.6</v>
      </c>
      <c r="Z41" s="34" t="s">
        <v>1016</v>
      </c>
      <c r="AA41" s="82">
        <v>1.8</v>
      </c>
      <c r="AB41" s="34" t="s">
        <v>1091</v>
      </c>
      <c r="AC41" s="2588">
        <v>0.4</v>
      </c>
      <c r="AD41" s="34" t="s">
        <v>1092</v>
      </c>
      <c r="AE41" s="34">
        <v>3.0</v>
      </c>
      <c r="AF41" s="34" t="s">
        <v>1093</v>
      </c>
    </row>
    <row r="42" ht="12.75" customHeight="1">
      <c r="A42" s="2392" t="s">
        <v>1150</v>
      </c>
      <c r="C42" s="6" t="s">
        <v>1151</v>
      </c>
      <c r="L42" s="2392" t="s">
        <v>1152</v>
      </c>
      <c r="M42" s="2392" t="s">
        <v>1143</v>
      </c>
      <c r="N42" s="2392" t="s">
        <v>1101</v>
      </c>
      <c r="O42" s="2392"/>
      <c r="R42" s="2588"/>
      <c r="S42" s="2588" t="s">
        <v>1125</v>
      </c>
      <c r="T42" s="2594">
        <v>12.0</v>
      </c>
      <c r="U42" s="34"/>
      <c r="V42" s="34">
        <v>0.7</v>
      </c>
      <c r="W42" s="2588"/>
      <c r="X42" s="82">
        <v>2.1</v>
      </c>
      <c r="Y42" s="34">
        <v>0.7</v>
      </c>
      <c r="Z42" s="34" t="s">
        <v>1016</v>
      </c>
      <c r="AA42" s="82">
        <v>2.1</v>
      </c>
      <c r="AB42" s="2588" t="s">
        <v>1091</v>
      </c>
      <c r="AC42" s="2588">
        <v>0.3</v>
      </c>
      <c r="AD42" s="34" t="s">
        <v>1092</v>
      </c>
      <c r="AE42" s="34">
        <v>3.0</v>
      </c>
      <c r="AF42" s="34" t="s">
        <v>1093</v>
      </c>
    </row>
    <row r="43" ht="12.75" customHeight="1">
      <c r="A43" s="2392" t="s">
        <v>1153</v>
      </c>
      <c r="C43" s="6" t="s">
        <v>1154</v>
      </c>
      <c r="F43" s="439" t="s">
        <v>1155</v>
      </c>
      <c r="H43" s="439" t="s">
        <v>1156</v>
      </c>
      <c r="J43" s="439" t="s">
        <v>1157</v>
      </c>
      <c r="K43" s="439" t="s">
        <v>1158</v>
      </c>
      <c r="L43" s="2392" t="s">
        <v>1159</v>
      </c>
      <c r="M43" s="2392" t="s">
        <v>1143</v>
      </c>
      <c r="N43" s="2392" t="s">
        <v>1107</v>
      </c>
      <c r="O43" s="2392"/>
      <c r="R43" s="2588"/>
      <c r="S43" s="2588" t="s">
        <v>1131</v>
      </c>
      <c r="T43" s="2594">
        <v>12.0</v>
      </c>
      <c r="U43" s="34"/>
      <c r="V43" s="34">
        <v>0.8</v>
      </c>
      <c r="W43" s="2588"/>
      <c r="X43" s="82">
        <v>2.4</v>
      </c>
      <c r="Y43" s="34">
        <v>0.8</v>
      </c>
      <c r="Z43" s="34" t="s">
        <v>1016</v>
      </c>
      <c r="AA43" s="82">
        <v>2.4</v>
      </c>
      <c r="AB43" s="2588" t="s">
        <v>1091</v>
      </c>
      <c r="AC43" s="2588">
        <v>0.2</v>
      </c>
      <c r="AD43" s="34" t="s">
        <v>1092</v>
      </c>
      <c r="AE43" s="34">
        <v>3.0</v>
      </c>
      <c r="AF43" s="34" t="s">
        <v>1160</v>
      </c>
    </row>
    <row r="44" ht="12.75" customHeight="1">
      <c r="A44" s="2392" t="s">
        <v>1161</v>
      </c>
      <c r="C44" s="6" t="s">
        <v>241</v>
      </c>
      <c r="F44" s="2392" t="s">
        <v>199</v>
      </c>
      <c r="H44" s="1780" t="s">
        <v>1162</v>
      </c>
      <c r="J44" s="305">
        <v>-1.0</v>
      </c>
      <c r="K44" s="1780" t="s">
        <v>1163</v>
      </c>
      <c r="L44" s="2392" t="s">
        <v>1164</v>
      </c>
      <c r="M44" s="2392" t="s">
        <v>1143</v>
      </c>
      <c r="N44" s="2593" t="s">
        <v>1137</v>
      </c>
      <c r="O44" s="2392"/>
      <c r="S44" s="2588" t="s">
        <v>1131</v>
      </c>
      <c r="T44" s="2594">
        <v>12.0</v>
      </c>
      <c r="U44" s="34"/>
      <c r="V44" s="34">
        <v>0.8</v>
      </c>
      <c r="W44" s="2588"/>
      <c r="X44" s="82">
        <v>3.2</v>
      </c>
      <c r="Y44" s="34">
        <v>0.8</v>
      </c>
      <c r="Z44" s="34" t="s">
        <v>1016</v>
      </c>
      <c r="AA44" s="82">
        <v>3.2</v>
      </c>
      <c r="AB44" s="2588" t="s">
        <v>1091</v>
      </c>
      <c r="AC44" s="2588">
        <v>0.2</v>
      </c>
      <c r="AD44" s="34" t="s">
        <v>1092</v>
      </c>
      <c r="AE44" s="34">
        <v>3.0</v>
      </c>
      <c r="AF44" s="34" t="s">
        <v>1093</v>
      </c>
    </row>
    <row r="45" ht="12.75" customHeight="1">
      <c r="A45" s="2392" t="s">
        <v>1165</v>
      </c>
      <c r="F45" s="2392" t="s">
        <v>1166</v>
      </c>
      <c r="H45" s="1780" t="s">
        <v>452</v>
      </c>
      <c r="J45" s="34" t="s">
        <v>128</v>
      </c>
      <c r="K45" s="1780" t="s">
        <v>1167</v>
      </c>
      <c r="L45" s="2392" t="s">
        <v>1168</v>
      </c>
      <c r="M45" s="2392" t="s">
        <v>1169</v>
      </c>
      <c r="N45" s="2392"/>
      <c r="O45" s="2392"/>
      <c r="R45" s="2588"/>
      <c r="S45" s="34" t="s">
        <v>1033</v>
      </c>
      <c r="T45" s="2594">
        <v>20.0</v>
      </c>
      <c r="U45" s="34"/>
      <c r="V45" s="34">
        <v>0.8</v>
      </c>
      <c r="W45" s="34"/>
      <c r="X45" s="82" t="s">
        <v>1170</v>
      </c>
      <c r="Y45" s="34">
        <v>0.8</v>
      </c>
      <c r="Z45" s="34" t="s">
        <v>1016</v>
      </c>
      <c r="AA45" s="82" t="s">
        <v>1170</v>
      </c>
      <c r="AB45" s="2588" t="s">
        <v>1091</v>
      </c>
      <c r="AC45" s="2588">
        <v>20.0</v>
      </c>
      <c r="AD45" s="2588" t="s">
        <v>1092</v>
      </c>
      <c r="AE45" s="2588" t="s">
        <v>1171</v>
      </c>
      <c r="AF45" s="34" t="s">
        <v>1093</v>
      </c>
    </row>
    <row r="46" ht="12.75" customHeight="1">
      <c r="A46" s="2392" t="s">
        <v>1172</v>
      </c>
      <c r="C46" s="6" t="s">
        <v>1173</v>
      </c>
      <c r="F46" s="2392" t="s">
        <v>1174</v>
      </c>
      <c r="H46" s="1780" t="s">
        <v>1175</v>
      </c>
      <c r="J46" s="34" t="s">
        <v>1176</v>
      </c>
      <c r="K46" s="1780" t="s">
        <v>1177</v>
      </c>
      <c r="L46" s="2392" t="s">
        <v>1178</v>
      </c>
      <c r="M46" s="2392" t="s">
        <v>1179</v>
      </c>
      <c r="N46" s="2593" t="s">
        <v>1090</v>
      </c>
      <c r="O46" s="2392"/>
      <c r="S46" s="10" t="s">
        <v>1180</v>
      </c>
      <c r="T46" s="2594">
        <v>20.0</v>
      </c>
      <c r="V46" s="10">
        <v>0.4</v>
      </c>
      <c r="X46" s="10">
        <v>0.8</v>
      </c>
      <c r="Y46" s="10">
        <v>0.4</v>
      </c>
      <c r="Z46" s="10" t="s">
        <v>1016</v>
      </c>
      <c r="AA46" s="10">
        <v>0.8</v>
      </c>
      <c r="AB46" s="10" t="s">
        <v>1181</v>
      </c>
      <c r="AC46" s="82" t="s">
        <v>1182</v>
      </c>
      <c r="AD46" s="10" t="s">
        <v>1183</v>
      </c>
      <c r="AE46" s="10">
        <v>3.0</v>
      </c>
      <c r="AF46" s="10" t="s">
        <v>1093</v>
      </c>
    </row>
    <row r="47" ht="12.75" customHeight="1">
      <c r="A47" s="2392" t="s">
        <v>1184</v>
      </c>
      <c r="C47" s="6" t="s">
        <v>1185</v>
      </c>
      <c r="F47" s="2392" t="s">
        <v>1186</v>
      </c>
      <c r="H47" s="1780" t="s">
        <v>453</v>
      </c>
      <c r="J47" s="34" t="s">
        <v>1187</v>
      </c>
      <c r="K47" s="34" t="s">
        <v>1188</v>
      </c>
      <c r="L47" s="2392" t="s">
        <v>1189</v>
      </c>
      <c r="M47" s="2392" t="s">
        <v>1179</v>
      </c>
      <c r="N47" s="2392" t="s">
        <v>1097</v>
      </c>
      <c r="O47" s="2392"/>
      <c r="S47" s="10" t="s">
        <v>1190</v>
      </c>
      <c r="T47" s="2594">
        <v>10.0</v>
      </c>
      <c r="V47" s="10">
        <v>0.6</v>
      </c>
      <c r="X47" s="10">
        <v>1.2</v>
      </c>
      <c r="Y47" s="10">
        <v>0.6</v>
      </c>
      <c r="Z47" s="2588" t="s">
        <v>1016</v>
      </c>
      <c r="AA47" s="10">
        <v>1.2</v>
      </c>
      <c r="AB47" s="10" t="s">
        <v>1091</v>
      </c>
      <c r="AC47" s="2588">
        <v>0.5</v>
      </c>
      <c r="AD47" s="10" t="s">
        <v>1183</v>
      </c>
      <c r="AE47" s="10">
        <v>3.0</v>
      </c>
      <c r="AF47" s="10" t="s">
        <v>1093</v>
      </c>
    </row>
    <row r="48" ht="12.75" customHeight="1">
      <c r="A48" s="2392" t="s">
        <v>1191</v>
      </c>
      <c r="C48" s="6" t="s">
        <v>1192</v>
      </c>
      <c r="F48" s="2392" t="s">
        <v>1193</v>
      </c>
      <c r="H48" s="34" t="s">
        <v>793</v>
      </c>
      <c r="J48" s="34" t="s">
        <v>1194</v>
      </c>
      <c r="K48" s="1780" t="s">
        <v>1195</v>
      </c>
      <c r="L48" s="2392" t="s">
        <v>1196</v>
      </c>
      <c r="M48" s="2392" t="s">
        <v>1179</v>
      </c>
      <c r="N48" s="2392" t="s">
        <v>1101</v>
      </c>
      <c r="O48" s="2392"/>
      <c r="S48" s="10" t="s">
        <v>1197</v>
      </c>
      <c r="T48" s="2594">
        <v>8.0</v>
      </c>
      <c r="V48" s="10">
        <v>0.7</v>
      </c>
      <c r="X48" s="10">
        <v>1.4</v>
      </c>
      <c r="Y48" s="10">
        <v>0.7</v>
      </c>
      <c r="Z48" s="10" t="s">
        <v>1016</v>
      </c>
      <c r="AA48" s="10">
        <v>1.4</v>
      </c>
      <c r="AB48" s="10" t="s">
        <v>1091</v>
      </c>
      <c r="AC48" s="2588">
        <v>0.4</v>
      </c>
      <c r="AD48" s="10" t="s">
        <v>1198</v>
      </c>
      <c r="AE48" s="10">
        <v>3.0</v>
      </c>
      <c r="AF48" s="10" t="s">
        <v>1093</v>
      </c>
    </row>
    <row r="49" ht="12.75" customHeight="1">
      <c r="A49" s="2392" t="s">
        <v>1199</v>
      </c>
      <c r="C49" s="6" t="s">
        <v>1200</v>
      </c>
      <c r="F49" s="2392" t="s">
        <v>1201</v>
      </c>
      <c r="H49" s="34" t="s">
        <v>1202</v>
      </c>
      <c r="J49" s="34" t="s">
        <v>1203</v>
      </c>
      <c r="K49" s="1780" t="s">
        <v>792</v>
      </c>
      <c r="L49" s="2392" t="s">
        <v>1204</v>
      </c>
      <c r="M49" s="2392" t="s">
        <v>1179</v>
      </c>
      <c r="N49" s="2392" t="s">
        <v>1107</v>
      </c>
      <c r="O49" s="2392"/>
      <c r="S49" s="10" t="s">
        <v>1205</v>
      </c>
      <c r="T49" s="2594">
        <v>6.0</v>
      </c>
      <c r="V49" s="10">
        <v>0.8</v>
      </c>
      <c r="X49" s="2595">
        <v>1.6</v>
      </c>
      <c r="Y49" s="10">
        <v>0.8</v>
      </c>
      <c r="Z49" s="10" t="s">
        <v>1016</v>
      </c>
      <c r="AA49" s="2595">
        <v>1.6</v>
      </c>
      <c r="AB49" s="2588" t="s">
        <v>1091</v>
      </c>
      <c r="AC49" s="2588">
        <v>0.3</v>
      </c>
      <c r="AD49" s="10" t="s">
        <v>1072</v>
      </c>
      <c r="AE49" s="10">
        <v>3.0</v>
      </c>
      <c r="AF49" s="10" t="s">
        <v>1093</v>
      </c>
    </row>
    <row r="50" ht="12.75" customHeight="1">
      <c r="A50" s="2392" t="s">
        <v>1206</v>
      </c>
      <c r="C50" s="6" t="s">
        <v>1207</v>
      </c>
      <c r="F50" s="2392" t="s">
        <v>790</v>
      </c>
      <c r="H50" s="34" t="s">
        <v>794</v>
      </c>
      <c r="J50" s="34" t="s">
        <v>1208</v>
      </c>
      <c r="K50" s="34" t="s">
        <v>1209</v>
      </c>
      <c r="L50" s="2392" t="s">
        <v>1210</v>
      </c>
      <c r="M50" s="2392" t="s">
        <v>1211</v>
      </c>
      <c r="N50" s="2593" t="s">
        <v>1090</v>
      </c>
      <c r="O50" s="2392"/>
      <c r="R50" s="2588"/>
      <c r="S50" s="10" t="s">
        <v>1027</v>
      </c>
      <c r="T50" s="2594">
        <v>20.0</v>
      </c>
      <c r="V50" s="34">
        <v>0.4</v>
      </c>
      <c r="X50" s="34">
        <v>1.2</v>
      </c>
      <c r="Y50" s="34">
        <v>0.4</v>
      </c>
      <c r="Z50" s="10" t="s">
        <v>1016</v>
      </c>
      <c r="AA50" s="34">
        <v>1.2</v>
      </c>
      <c r="AB50" s="2588" t="s">
        <v>1091</v>
      </c>
      <c r="AC50" s="2588">
        <v>0.5</v>
      </c>
      <c r="AD50" s="2588" t="s">
        <v>1092</v>
      </c>
      <c r="AE50" s="10">
        <v>4.0</v>
      </c>
      <c r="AF50" s="10" t="s">
        <v>1093</v>
      </c>
    </row>
    <row r="51" ht="12.75" customHeight="1">
      <c r="A51" s="2392" t="s">
        <v>1212</v>
      </c>
      <c r="F51" s="2392" t="s">
        <v>1213</v>
      </c>
      <c r="H51" s="34" t="s">
        <v>795</v>
      </c>
      <c r="J51" s="34" t="s">
        <v>1214</v>
      </c>
      <c r="K51" s="34" t="s">
        <v>1215</v>
      </c>
      <c r="L51" s="2392" t="s">
        <v>1216</v>
      </c>
      <c r="M51" s="2392" t="s">
        <v>1211</v>
      </c>
      <c r="N51" s="2392" t="s">
        <v>1097</v>
      </c>
      <c r="O51" s="2392"/>
      <c r="R51" s="2588"/>
      <c r="S51" s="10" t="s">
        <v>1034</v>
      </c>
      <c r="T51" s="2594">
        <v>10.0</v>
      </c>
      <c r="V51" s="34">
        <v>0.6</v>
      </c>
      <c r="X51" s="34">
        <v>1.8</v>
      </c>
      <c r="Y51" s="34">
        <v>0.6</v>
      </c>
      <c r="Z51" s="10" t="s">
        <v>1016</v>
      </c>
      <c r="AA51" s="34">
        <v>1.8</v>
      </c>
      <c r="AB51" s="2588" t="s">
        <v>1091</v>
      </c>
      <c r="AC51" s="2588">
        <v>0.4</v>
      </c>
      <c r="AD51" s="2588" t="s">
        <v>1092</v>
      </c>
      <c r="AE51" s="10">
        <v>3.0</v>
      </c>
      <c r="AF51" s="10" t="s">
        <v>1093</v>
      </c>
    </row>
    <row r="52" ht="12.75" customHeight="1">
      <c r="A52" s="2392" t="s">
        <v>1217</v>
      </c>
      <c r="F52" s="2392" t="s">
        <v>1218</v>
      </c>
      <c r="H52" s="34" t="s">
        <v>456</v>
      </c>
      <c r="J52" s="34" t="s">
        <v>1219</v>
      </c>
      <c r="K52" s="34" t="s">
        <v>1220</v>
      </c>
      <c r="L52" s="2392" t="s">
        <v>1221</v>
      </c>
      <c r="M52" s="2392" t="s">
        <v>1211</v>
      </c>
      <c r="N52" s="2392" t="s">
        <v>1101</v>
      </c>
      <c r="O52" s="2392"/>
      <c r="R52" s="2588"/>
      <c r="S52" s="10" t="s">
        <v>1102</v>
      </c>
      <c r="T52" s="2594">
        <v>10.0</v>
      </c>
      <c r="V52" s="34">
        <v>0.7</v>
      </c>
      <c r="X52" s="10">
        <v>2.1</v>
      </c>
      <c r="Y52" s="34">
        <v>0.7</v>
      </c>
      <c r="Z52" s="2588" t="s">
        <v>1016</v>
      </c>
      <c r="AA52" s="10">
        <v>2.1</v>
      </c>
      <c r="AB52" s="2588" t="s">
        <v>1091</v>
      </c>
      <c r="AC52" s="2588">
        <v>0.3</v>
      </c>
      <c r="AD52" s="2588" t="s">
        <v>1103</v>
      </c>
      <c r="AE52" s="10">
        <v>4.0</v>
      </c>
      <c r="AF52" s="10" t="s">
        <v>1093</v>
      </c>
    </row>
    <row r="53" ht="12.75" customHeight="1">
      <c r="A53" s="2392" t="s">
        <v>1222</v>
      </c>
      <c r="F53" s="2392" t="s">
        <v>1223</v>
      </c>
      <c r="H53" s="6" t="s">
        <v>1224</v>
      </c>
      <c r="J53" s="34" t="s">
        <v>1225</v>
      </c>
      <c r="K53" s="34" t="s">
        <v>1226</v>
      </c>
      <c r="L53" s="2392" t="s">
        <v>1227</v>
      </c>
      <c r="M53" s="2392" t="s">
        <v>1211</v>
      </c>
      <c r="N53" s="2392" t="s">
        <v>1107</v>
      </c>
      <c r="O53" s="2392"/>
      <c r="S53" s="10" t="s">
        <v>1108</v>
      </c>
      <c r="T53" s="2594">
        <v>8.0</v>
      </c>
      <c r="V53" s="34">
        <v>0.8</v>
      </c>
      <c r="X53" s="10">
        <v>2.4</v>
      </c>
      <c r="Y53" s="34">
        <v>0.8</v>
      </c>
      <c r="Z53" s="2588" t="s">
        <v>1016</v>
      </c>
      <c r="AA53" s="10">
        <v>2.4</v>
      </c>
      <c r="AB53" s="2588" t="s">
        <v>1091</v>
      </c>
      <c r="AC53" s="2588">
        <v>0.2</v>
      </c>
      <c r="AD53" s="10" t="s">
        <v>1092</v>
      </c>
      <c r="AE53" s="10">
        <v>3.0</v>
      </c>
      <c r="AF53" s="10" t="s">
        <v>1093</v>
      </c>
    </row>
    <row r="54" ht="12.75" customHeight="1">
      <c r="A54" s="2392" t="s">
        <v>1228</v>
      </c>
      <c r="F54" s="2593" t="s">
        <v>1229</v>
      </c>
      <c r="H54" s="2596" t="s">
        <v>1230</v>
      </c>
      <c r="J54" s="34" t="s">
        <v>1231</v>
      </c>
      <c r="K54" s="34" t="s">
        <v>1232</v>
      </c>
      <c r="L54" s="2392" t="s">
        <v>1233</v>
      </c>
      <c r="M54" s="2392" t="s">
        <v>1234</v>
      </c>
      <c r="N54" s="2593" t="s">
        <v>1090</v>
      </c>
      <c r="O54" s="2392"/>
      <c r="S54" s="10" t="s">
        <v>1027</v>
      </c>
      <c r="T54" s="2594">
        <v>20.0</v>
      </c>
      <c r="V54" s="34">
        <v>0.4</v>
      </c>
      <c r="X54" s="82">
        <v>1.2</v>
      </c>
      <c r="Y54" s="34">
        <v>0.4</v>
      </c>
      <c r="Z54" s="2588" t="s">
        <v>1016</v>
      </c>
      <c r="AA54" s="82">
        <v>1.2</v>
      </c>
      <c r="AB54" s="2588" t="s">
        <v>1091</v>
      </c>
      <c r="AC54" s="2588">
        <v>0.5</v>
      </c>
      <c r="AD54" s="10" t="s">
        <v>1092</v>
      </c>
      <c r="AE54" s="10">
        <v>3.0</v>
      </c>
      <c r="AF54" s="10" t="s">
        <v>1093</v>
      </c>
    </row>
    <row r="55" ht="12.75" customHeight="1">
      <c r="A55" s="2392" t="s">
        <v>1235</v>
      </c>
      <c r="F55" s="2392" t="s">
        <v>1236</v>
      </c>
      <c r="H55" s="34" t="s">
        <v>1237</v>
      </c>
      <c r="J55" s="34" t="s">
        <v>1238</v>
      </c>
      <c r="K55" s="34" t="s">
        <v>1239</v>
      </c>
      <c r="L55" s="2392" t="s">
        <v>1240</v>
      </c>
      <c r="M55" s="2392" t="s">
        <v>1234</v>
      </c>
      <c r="N55" s="2392" t="s">
        <v>1097</v>
      </c>
      <c r="O55" s="2392"/>
      <c r="Q55" s="2588"/>
      <c r="S55" s="2588" t="s">
        <v>1022</v>
      </c>
      <c r="T55" s="2594">
        <v>15.0</v>
      </c>
      <c r="V55" s="34">
        <v>0.6</v>
      </c>
      <c r="W55" s="2588"/>
      <c r="X55" s="82">
        <v>1.8</v>
      </c>
      <c r="Y55" s="34">
        <v>0.6</v>
      </c>
      <c r="Z55" s="2588" t="s">
        <v>1016</v>
      </c>
      <c r="AA55" s="82">
        <v>1.8</v>
      </c>
      <c r="AB55" s="2588" t="s">
        <v>1091</v>
      </c>
      <c r="AC55" s="2588">
        <v>0.4</v>
      </c>
      <c r="AD55" s="10" t="s">
        <v>1092</v>
      </c>
      <c r="AE55" s="10">
        <v>3.0</v>
      </c>
      <c r="AF55" s="10" t="s">
        <v>1093</v>
      </c>
    </row>
    <row r="56" ht="12.75" customHeight="1">
      <c r="A56" s="6" t="s">
        <v>1241</v>
      </c>
      <c r="F56" s="2392" t="s">
        <v>1242</v>
      </c>
      <c r="H56" s="34" t="s">
        <v>1243</v>
      </c>
      <c r="J56" s="34" t="s">
        <v>1244</v>
      </c>
      <c r="K56" s="34" t="s">
        <v>1245</v>
      </c>
      <c r="L56" s="2392" t="s">
        <v>1246</v>
      </c>
      <c r="M56" s="2392" t="s">
        <v>1234</v>
      </c>
      <c r="N56" s="2392" t="s">
        <v>1101</v>
      </c>
      <c r="O56" s="2392"/>
      <c r="S56" s="10" t="s">
        <v>1125</v>
      </c>
      <c r="T56" s="2594">
        <v>12.0</v>
      </c>
      <c r="U56" s="2588"/>
      <c r="V56" s="34">
        <v>0.7</v>
      </c>
      <c r="W56" s="2588"/>
      <c r="X56" s="82">
        <v>2.1</v>
      </c>
      <c r="Y56" s="34">
        <v>0.7</v>
      </c>
      <c r="Z56" s="10" t="s">
        <v>1016</v>
      </c>
      <c r="AA56" s="82">
        <v>2.1</v>
      </c>
      <c r="AB56" s="10" t="s">
        <v>1091</v>
      </c>
      <c r="AC56" s="2588">
        <v>0.3</v>
      </c>
      <c r="AD56" s="10" t="s">
        <v>1092</v>
      </c>
      <c r="AE56" s="10">
        <v>3.0</v>
      </c>
      <c r="AF56" s="10" t="s">
        <v>1093</v>
      </c>
    </row>
    <row r="57" ht="12.75" customHeight="1">
      <c r="A57" s="6" t="s">
        <v>1247</v>
      </c>
      <c r="H57" s="34" t="s">
        <v>796</v>
      </c>
      <c r="J57" s="34" t="s">
        <v>1248</v>
      </c>
      <c r="K57" s="34" t="s">
        <v>1249</v>
      </c>
      <c r="L57" s="2392" t="s">
        <v>1250</v>
      </c>
      <c r="M57" s="2392" t="s">
        <v>1234</v>
      </c>
      <c r="N57" s="2392" t="s">
        <v>1107</v>
      </c>
      <c r="O57" s="2392"/>
      <c r="S57" s="2588" t="s">
        <v>1131</v>
      </c>
      <c r="T57" s="2594">
        <v>12.0</v>
      </c>
      <c r="U57" s="2588"/>
      <c r="V57" s="34">
        <v>0.8</v>
      </c>
      <c r="W57" s="2588"/>
      <c r="X57" s="82">
        <v>2.4</v>
      </c>
      <c r="Y57" s="34">
        <v>0.8</v>
      </c>
      <c r="Z57" s="10" t="s">
        <v>1016</v>
      </c>
      <c r="AA57" s="82">
        <v>2.4</v>
      </c>
      <c r="AB57" s="2588" t="s">
        <v>1091</v>
      </c>
      <c r="AC57" s="2588">
        <v>0.2</v>
      </c>
      <c r="AD57" s="10" t="s">
        <v>1092</v>
      </c>
      <c r="AE57" s="10">
        <v>3.0</v>
      </c>
      <c r="AF57" s="10" t="s">
        <v>1093</v>
      </c>
    </row>
    <row r="58" ht="12.75" customHeight="1">
      <c r="A58" s="6" t="s">
        <v>1251</v>
      </c>
      <c r="F58" s="439" t="s">
        <v>1252</v>
      </c>
      <c r="H58" s="34" t="s">
        <v>1253</v>
      </c>
      <c r="J58" s="34" t="s">
        <v>1254</v>
      </c>
      <c r="K58" s="34" t="s">
        <v>1255</v>
      </c>
      <c r="L58" s="2392" t="s">
        <v>1256</v>
      </c>
      <c r="M58" s="2392" t="s">
        <v>1234</v>
      </c>
      <c r="N58" s="2593" t="s">
        <v>1137</v>
      </c>
      <c r="O58" s="2392"/>
      <c r="S58" s="2588" t="s">
        <v>1131</v>
      </c>
      <c r="T58" s="2594">
        <v>12.0</v>
      </c>
      <c r="U58" s="2588"/>
      <c r="V58" s="34">
        <v>0.8</v>
      </c>
      <c r="W58" s="2588"/>
      <c r="X58" s="82">
        <v>3.2</v>
      </c>
      <c r="Y58" s="34">
        <v>0.8</v>
      </c>
      <c r="Z58" s="10" t="s">
        <v>1016</v>
      </c>
      <c r="AA58" s="82">
        <v>3.2</v>
      </c>
      <c r="AB58" s="2588" t="s">
        <v>1091</v>
      </c>
      <c r="AC58" s="2588">
        <v>0.2</v>
      </c>
      <c r="AD58" s="10" t="s">
        <v>1092</v>
      </c>
      <c r="AE58" s="10">
        <v>3.0</v>
      </c>
      <c r="AF58" s="10" t="s">
        <v>1093</v>
      </c>
    </row>
    <row r="59" ht="12.75" customHeight="1">
      <c r="A59" s="439" t="s">
        <v>1257</v>
      </c>
      <c r="B59" s="10" t="s">
        <v>962</v>
      </c>
      <c r="F59" s="2392" t="s">
        <v>142</v>
      </c>
      <c r="G59" s="2392" t="s">
        <v>728</v>
      </c>
      <c r="H59" s="1780" t="s">
        <v>1258</v>
      </c>
      <c r="J59" s="34" t="s">
        <v>1259</v>
      </c>
      <c r="K59" s="34" t="s">
        <v>1260</v>
      </c>
      <c r="L59" s="2392" t="s">
        <v>1261</v>
      </c>
      <c r="M59" s="2392" t="s">
        <v>1262</v>
      </c>
      <c r="N59" s="2593" t="s">
        <v>1090</v>
      </c>
      <c r="O59" s="2392"/>
      <c r="Q59" s="2588"/>
      <c r="R59" s="2588"/>
      <c r="S59" s="2588" t="s">
        <v>1027</v>
      </c>
      <c r="T59" s="2594">
        <v>20.0</v>
      </c>
      <c r="U59" s="2588"/>
      <c r="V59" s="34">
        <v>0.4</v>
      </c>
      <c r="X59" s="82" t="s">
        <v>1144</v>
      </c>
      <c r="Y59" s="34">
        <v>0.4</v>
      </c>
      <c r="Z59" s="2588" t="s">
        <v>1016</v>
      </c>
      <c r="AA59" s="82" t="s">
        <v>1144</v>
      </c>
      <c r="AB59" s="2588" t="s">
        <v>1145</v>
      </c>
      <c r="AC59" s="2588">
        <v>0.5</v>
      </c>
      <c r="AD59" s="10" t="s">
        <v>1092</v>
      </c>
      <c r="AE59" s="10">
        <v>3.0</v>
      </c>
      <c r="AF59" s="10" t="s">
        <v>1093</v>
      </c>
    </row>
    <row r="60" ht="12.75" customHeight="1">
      <c r="A60" s="34" t="s">
        <v>1263</v>
      </c>
      <c r="F60" s="2392" t="s">
        <v>1264</v>
      </c>
      <c r="G60" s="2392" t="s">
        <v>1265</v>
      </c>
      <c r="H60" s="34" t="s">
        <v>459</v>
      </c>
      <c r="J60" s="34" t="s">
        <v>1266</v>
      </c>
      <c r="K60" s="34" t="s">
        <v>1267</v>
      </c>
      <c r="L60" s="2392" t="s">
        <v>1268</v>
      </c>
      <c r="M60" s="2392" t="s">
        <v>1262</v>
      </c>
      <c r="N60" s="2392" t="s">
        <v>1097</v>
      </c>
      <c r="O60" s="2392"/>
      <c r="Q60" s="2588"/>
      <c r="R60" s="2588"/>
      <c r="S60" s="2588" t="s">
        <v>1022</v>
      </c>
      <c r="T60" s="2594">
        <v>15.0</v>
      </c>
      <c r="U60" s="2588"/>
      <c r="V60" s="34">
        <v>0.6</v>
      </c>
      <c r="X60" s="82">
        <v>1.8</v>
      </c>
      <c r="Y60" s="34">
        <v>0.6</v>
      </c>
      <c r="Z60" s="10" t="s">
        <v>1016</v>
      </c>
      <c r="AA60" s="82">
        <v>1.8</v>
      </c>
      <c r="AB60" s="10" t="s">
        <v>1091</v>
      </c>
      <c r="AC60" s="2588">
        <v>0.4</v>
      </c>
      <c r="AD60" s="10" t="s">
        <v>1092</v>
      </c>
      <c r="AE60" s="10">
        <v>3.0</v>
      </c>
      <c r="AF60" s="10" t="s">
        <v>1093</v>
      </c>
    </row>
    <row r="61" ht="12.75" customHeight="1">
      <c r="A61" s="1780" t="s">
        <v>1269</v>
      </c>
      <c r="F61" s="2392" t="s">
        <v>1270</v>
      </c>
      <c r="G61" s="2392" t="s">
        <v>1271</v>
      </c>
      <c r="H61" s="34" t="s">
        <v>1272</v>
      </c>
      <c r="J61" s="34" t="s">
        <v>1273</v>
      </c>
      <c r="K61" s="34" t="s">
        <v>1274</v>
      </c>
      <c r="L61" s="2392" t="s">
        <v>1275</v>
      </c>
      <c r="M61" s="2392" t="s">
        <v>1262</v>
      </c>
      <c r="N61" s="2392" t="s">
        <v>1101</v>
      </c>
      <c r="O61" s="2392"/>
      <c r="Q61" s="2588"/>
      <c r="R61" s="2588"/>
      <c r="S61" s="2588" t="s">
        <v>1125</v>
      </c>
      <c r="T61" s="2594">
        <v>12.0</v>
      </c>
      <c r="V61" s="34">
        <v>0.7</v>
      </c>
      <c r="W61" s="2588"/>
      <c r="X61" s="82">
        <v>2.1</v>
      </c>
      <c r="Y61" s="34">
        <v>0.7</v>
      </c>
      <c r="Z61" s="10" t="s">
        <v>1016</v>
      </c>
      <c r="AA61" s="82">
        <v>2.1</v>
      </c>
      <c r="AB61" s="2588" t="s">
        <v>1091</v>
      </c>
      <c r="AC61" s="2588">
        <v>0.3</v>
      </c>
      <c r="AD61" s="10" t="s">
        <v>1092</v>
      </c>
      <c r="AE61" s="10">
        <v>3.0</v>
      </c>
      <c r="AF61" s="10" t="s">
        <v>1093</v>
      </c>
    </row>
    <row r="62" ht="12.75" customHeight="1">
      <c r="A62" s="1780" t="s">
        <v>1276</v>
      </c>
      <c r="F62" s="2392" t="s">
        <v>1277</v>
      </c>
      <c r="G62" s="2392" t="s">
        <v>1278</v>
      </c>
      <c r="H62" s="34" t="s">
        <v>454</v>
      </c>
      <c r="J62" s="34" t="s">
        <v>1279</v>
      </c>
      <c r="K62" s="34" t="s">
        <v>1280</v>
      </c>
      <c r="L62" s="2392" t="s">
        <v>1281</v>
      </c>
      <c r="M62" s="2392" t="s">
        <v>1262</v>
      </c>
      <c r="N62" s="2392" t="s">
        <v>1107</v>
      </c>
      <c r="O62" s="2392"/>
      <c r="Q62" s="2588"/>
      <c r="R62" s="2588"/>
      <c r="S62" s="2588" t="s">
        <v>1131</v>
      </c>
      <c r="T62" s="2594">
        <v>12.0</v>
      </c>
      <c r="V62" s="34">
        <v>0.8</v>
      </c>
      <c r="W62" s="2588"/>
      <c r="X62" s="82">
        <v>2.4</v>
      </c>
      <c r="Y62" s="34">
        <v>0.8</v>
      </c>
      <c r="Z62" s="10" t="s">
        <v>1016</v>
      </c>
      <c r="AA62" s="82">
        <v>2.4</v>
      </c>
      <c r="AB62" s="2588" t="s">
        <v>1091</v>
      </c>
      <c r="AC62" s="2588">
        <v>0.2</v>
      </c>
      <c r="AD62" s="10" t="s">
        <v>1092</v>
      </c>
      <c r="AE62" s="10">
        <v>3.0</v>
      </c>
      <c r="AF62" s="10" t="s">
        <v>1160</v>
      </c>
    </row>
    <row r="63" ht="12.75" customHeight="1">
      <c r="A63" s="1780" t="s">
        <v>1282</v>
      </c>
      <c r="H63" s="34" t="s">
        <v>1283</v>
      </c>
      <c r="J63" s="34" t="s">
        <v>1284</v>
      </c>
      <c r="K63" s="34" t="s">
        <v>1285</v>
      </c>
      <c r="L63" s="2392" t="s">
        <v>1286</v>
      </c>
      <c r="M63" s="2392" t="s">
        <v>1262</v>
      </c>
      <c r="N63" s="2593" t="s">
        <v>1137</v>
      </c>
      <c r="O63" s="2392"/>
      <c r="Q63" s="2588"/>
      <c r="R63" s="2588"/>
      <c r="S63" s="2588" t="s">
        <v>1131</v>
      </c>
      <c r="T63" s="2594">
        <v>12.0</v>
      </c>
      <c r="V63" s="34">
        <v>0.8</v>
      </c>
      <c r="W63" s="2588"/>
      <c r="X63" s="82">
        <v>3.2</v>
      </c>
      <c r="Y63" s="34">
        <v>0.8</v>
      </c>
      <c r="Z63" s="10" t="s">
        <v>1016</v>
      </c>
      <c r="AA63" s="82">
        <v>3.2</v>
      </c>
      <c r="AB63" s="2588" t="s">
        <v>1091</v>
      </c>
      <c r="AC63" s="2588">
        <v>0.2</v>
      </c>
      <c r="AD63" s="10" t="s">
        <v>1092</v>
      </c>
      <c r="AE63" s="10">
        <v>3.0</v>
      </c>
      <c r="AF63" s="10" t="s">
        <v>1093</v>
      </c>
    </row>
    <row r="64" ht="12.75" customHeight="1">
      <c r="A64" s="1780" t="s">
        <v>1287</v>
      </c>
      <c r="H64" s="34" t="s">
        <v>1288</v>
      </c>
      <c r="J64" s="34" t="s">
        <v>1289</v>
      </c>
      <c r="K64" s="34" t="s">
        <v>1290</v>
      </c>
      <c r="L64" s="2392" t="s">
        <v>1291</v>
      </c>
      <c r="M64" s="2392" t="s">
        <v>1292</v>
      </c>
      <c r="N64" s="2392" t="s">
        <v>1292</v>
      </c>
      <c r="O64" s="2392"/>
      <c r="Q64" s="2588"/>
      <c r="S64" s="10" t="s">
        <v>1033</v>
      </c>
      <c r="T64" s="2594">
        <v>20.0</v>
      </c>
      <c r="V64" s="34">
        <v>0.8</v>
      </c>
      <c r="X64" s="82" t="s">
        <v>1170</v>
      </c>
      <c r="Y64" s="34">
        <v>0.8</v>
      </c>
      <c r="Z64" s="10" t="s">
        <v>1016</v>
      </c>
      <c r="AA64" s="82" t="s">
        <v>1170</v>
      </c>
      <c r="AB64" s="2588" t="s">
        <v>1091</v>
      </c>
      <c r="AC64" s="2588">
        <v>20.0</v>
      </c>
      <c r="AD64" s="2588" t="s">
        <v>1092</v>
      </c>
      <c r="AE64" s="2588" t="s">
        <v>1171</v>
      </c>
      <c r="AF64" s="10" t="s">
        <v>1093</v>
      </c>
    </row>
    <row r="65" ht="12.75" customHeight="1">
      <c r="A65" s="34" t="s">
        <v>1293</v>
      </c>
      <c r="F65" s="439" t="s">
        <v>401</v>
      </c>
      <c r="H65" s="34" t="s">
        <v>1294</v>
      </c>
      <c r="J65" s="34" t="s">
        <v>1295</v>
      </c>
      <c r="K65" s="34" t="s">
        <v>1296</v>
      </c>
      <c r="L65" s="2392" t="s">
        <v>1297</v>
      </c>
      <c r="M65" s="2392" t="s">
        <v>1298</v>
      </c>
      <c r="N65" s="2593" t="s">
        <v>1090</v>
      </c>
      <c r="O65" s="2392"/>
      <c r="S65" s="10" t="s">
        <v>1027</v>
      </c>
      <c r="T65" s="2594">
        <v>20.0</v>
      </c>
      <c r="U65" s="2588"/>
      <c r="V65" s="34">
        <v>0.4</v>
      </c>
      <c r="X65" s="82">
        <v>0.8</v>
      </c>
      <c r="Y65" s="34">
        <v>0.4</v>
      </c>
      <c r="Z65" s="2588" t="s">
        <v>1016</v>
      </c>
      <c r="AA65" s="82">
        <v>0.8</v>
      </c>
      <c r="AB65" s="2588" t="s">
        <v>1091</v>
      </c>
      <c r="AC65" s="10">
        <v>60.0</v>
      </c>
      <c r="AD65" s="10" t="s">
        <v>1183</v>
      </c>
      <c r="AE65" s="10">
        <v>3.0</v>
      </c>
      <c r="AF65" s="10" t="s">
        <v>1093</v>
      </c>
    </row>
    <row r="66" ht="12.75" customHeight="1">
      <c r="A66" s="1780" t="s">
        <v>1299</v>
      </c>
      <c r="F66" s="2392" t="s">
        <v>777</v>
      </c>
      <c r="G66" s="2392"/>
      <c r="H66" s="34" t="s">
        <v>1300</v>
      </c>
      <c r="J66" s="34" t="s">
        <v>1301</v>
      </c>
      <c r="L66" s="2392" t="s">
        <v>1302</v>
      </c>
      <c r="M66" s="2392" t="s">
        <v>1298</v>
      </c>
      <c r="N66" s="2392" t="s">
        <v>1097</v>
      </c>
      <c r="O66" s="2392"/>
      <c r="S66" s="10" t="s">
        <v>1034</v>
      </c>
      <c r="T66" s="2594">
        <v>10.0</v>
      </c>
      <c r="U66" s="2588"/>
      <c r="V66" s="34">
        <v>0.6</v>
      </c>
      <c r="X66" s="82">
        <v>1.2</v>
      </c>
      <c r="Y66" s="34">
        <v>0.6</v>
      </c>
      <c r="Z66" s="2588" t="s">
        <v>1016</v>
      </c>
      <c r="AA66" s="82">
        <v>1.2</v>
      </c>
      <c r="AB66" s="2588" t="s">
        <v>1091</v>
      </c>
      <c r="AC66" s="10">
        <v>50.0</v>
      </c>
      <c r="AD66" s="10" t="s">
        <v>1183</v>
      </c>
      <c r="AE66" s="10">
        <v>3.0</v>
      </c>
      <c r="AF66" s="10" t="s">
        <v>1093</v>
      </c>
    </row>
    <row r="67" ht="12.75" customHeight="1">
      <c r="A67" s="1780" t="s">
        <v>1303</v>
      </c>
      <c r="F67" s="2392" t="s">
        <v>694</v>
      </c>
      <c r="G67" s="2392"/>
      <c r="H67" s="34" t="s">
        <v>1304</v>
      </c>
      <c r="J67" s="34" t="s">
        <v>1305</v>
      </c>
      <c r="L67" s="2392" t="s">
        <v>1306</v>
      </c>
      <c r="M67" s="2392" t="s">
        <v>1298</v>
      </c>
      <c r="N67" s="2392" t="s">
        <v>1101</v>
      </c>
      <c r="O67" s="2392"/>
      <c r="Q67" s="2588"/>
      <c r="S67" s="10" t="s">
        <v>1056</v>
      </c>
      <c r="T67" s="2594">
        <v>8.0</v>
      </c>
      <c r="V67" s="34">
        <v>0.7</v>
      </c>
      <c r="W67" s="2588"/>
      <c r="X67" s="82">
        <v>1.4</v>
      </c>
      <c r="Y67" s="34">
        <v>0.7</v>
      </c>
      <c r="Z67" s="10" t="s">
        <v>1016</v>
      </c>
      <c r="AA67" s="82">
        <v>1.4</v>
      </c>
      <c r="AB67" s="10" t="s">
        <v>1091</v>
      </c>
      <c r="AC67" s="10">
        <v>40.0</v>
      </c>
      <c r="AD67" s="10" t="s">
        <v>1198</v>
      </c>
      <c r="AE67" s="10">
        <v>3.0</v>
      </c>
      <c r="AF67" s="10" t="s">
        <v>1093</v>
      </c>
    </row>
    <row r="68" ht="12.75" customHeight="1">
      <c r="A68" s="1780" t="s">
        <v>1307</v>
      </c>
      <c r="F68" s="2392" t="s">
        <v>1308</v>
      </c>
      <c r="G68" s="2392"/>
      <c r="H68" s="34" t="s">
        <v>467</v>
      </c>
      <c r="J68" s="34" t="s">
        <v>1309</v>
      </c>
      <c r="L68" s="2392" t="s">
        <v>1310</v>
      </c>
      <c r="M68" s="2392" t="s">
        <v>1298</v>
      </c>
      <c r="N68" s="2392" t="s">
        <v>1107</v>
      </c>
      <c r="O68" s="2392"/>
      <c r="Q68" s="2588"/>
      <c r="S68" s="10" t="s">
        <v>695</v>
      </c>
      <c r="T68" s="2594">
        <v>6.0</v>
      </c>
      <c r="V68" s="34">
        <v>0.8</v>
      </c>
      <c r="W68" s="2588"/>
      <c r="X68" s="82">
        <v>1.6</v>
      </c>
      <c r="Y68" s="34">
        <v>0.8</v>
      </c>
      <c r="Z68" s="10" t="s">
        <v>1016</v>
      </c>
      <c r="AA68" s="82">
        <v>1.6</v>
      </c>
      <c r="AB68" s="10" t="s">
        <v>1091</v>
      </c>
      <c r="AC68" s="10">
        <v>30.0</v>
      </c>
      <c r="AD68" s="10" t="s">
        <v>1072</v>
      </c>
      <c r="AE68" s="10">
        <v>3.0</v>
      </c>
      <c r="AF68" s="10" t="s">
        <v>1093</v>
      </c>
    </row>
    <row r="69" ht="13.5" customHeight="1">
      <c r="A69" s="1780" t="s">
        <v>1311</v>
      </c>
      <c r="F69" s="2392" t="s">
        <v>1312</v>
      </c>
      <c r="G69" s="2392"/>
      <c r="H69" s="34" t="s">
        <v>1313</v>
      </c>
      <c r="J69" s="34" t="s">
        <v>1314</v>
      </c>
      <c r="L69" s="2392" t="s">
        <v>1315</v>
      </c>
      <c r="M69" s="2392" t="s">
        <v>1316</v>
      </c>
      <c r="N69" s="2593" t="s">
        <v>1090</v>
      </c>
      <c r="O69" s="2392"/>
      <c r="S69" s="10" t="s">
        <v>1027</v>
      </c>
      <c r="T69" s="2594">
        <v>20.0</v>
      </c>
      <c r="U69" s="2588"/>
      <c r="V69" s="34">
        <v>0.4</v>
      </c>
      <c r="W69" s="2588"/>
      <c r="X69" s="82">
        <v>1.2</v>
      </c>
      <c r="Y69" s="34">
        <v>0.4</v>
      </c>
      <c r="Z69" s="10" t="s">
        <v>1016</v>
      </c>
      <c r="AA69" s="82">
        <v>1.2</v>
      </c>
      <c r="AB69" s="10" t="s">
        <v>1091</v>
      </c>
      <c r="AC69" s="2588">
        <v>0.5</v>
      </c>
      <c r="AD69" s="10" t="s">
        <v>1092</v>
      </c>
      <c r="AE69" s="10">
        <v>3.0</v>
      </c>
      <c r="AF69" s="10" t="s">
        <v>1093</v>
      </c>
    </row>
    <row r="70" ht="12.75" customHeight="1">
      <c r="A70" s="1780" t="s">
        <v>1317</v>
      </c>
      <c r="F70" s="2392" t="s">
        <v>1318</v>
      </c>
      <c r="G70" s="2392"/>
      <c r="H70" s="34" t="s">
        <v>1319</v>
      </c>
      <c r="J70" s="34" t="s">
        <v>1320</v>
      </c>
      <c r="L70" s="2392" t="s">
        <v>1321</v>
      </c>
      <c r="M70" s="2392" t="s">
        <v>1316</v>
      </c>
      <c r="N70" s="2392" t="s">
        <v>1097</v>
      </c>
      <c r="O70" s="2392"/>
      <c r="S70" s="2588" t="s">
        <v>1034</v>
      </c>
      <c r="T70" s="2594">
        <v>10.0</v>
      </c>
      <c r="U70" s="2588"/>
      <c r="V70" s="34">
        <v>0.6</v>
      </c>
      <c r="X70" s="82">
        <v>1.8</v>
      </c>
      <c r="Y70" s="34">
        <v>0.6</v>
      </c>
      <c r="Z70" s="10" t="s">
        <v>1016</v>
      </c>
      <c r="AA70" s="82">
        <v>1.8</v>
      </c>
      <c r="AB70" s="10" t="s">
        <v>1091</v>
      </c>
      <c r="AC70" s="2588">
        <v>0.4</v>
      </c>
      <c r="AD70" s="10" t="s">
        <v>1092</v>
      </c>
      <c r="AE70" s="10">
        <v>3.0</v>
      </c>
      <c r="AF70" s="10" t="s">
        <v>1093</v>
      </c>
    </row>
    <row r="71" ht="12.75" customHeight="1">
      <c r="A71" s="34" t="s">
        <v>1322</v>
      </c>
      <c r="F71" s="2392" t="s">
        <v>1323</v>
      </c>
      <c r="G71" s="2392"/>
      <c r="H71" s="34" t="s">
        <v>1324</v>
      </c>
      <c r="J71" s="34" t="s">
        <v>1325</v>
      </c>
      <c r="L71" s="2392" t="s">
        <v>1326</v>
      </c>
      <c r="M71" s="2392" t="s">
        <v>1316</v>
      </c>
      <c r="N71" s="2392" t="s">
        <v>1101</v>
      </c>
      <c r="O71" s="2392"/>
      <c r="R71" s="2588"/>
      <c r="S71" s="2588" t="s">
        <v>1102</v>
      </c>
      <c r="T71" s="2594">
        <v>10.0</v>
      </c>
      <c r="U71" s="2588"/>
      <c r="V71" s="34">
        <v>0.7</v>
      </c>
      <c r="X71" s="82">
        <v>2.1</v>
      </c>
      <c r="Y71" s="34">
        <v>0.7</v>
      </c>
      <c r="Z71" s="10" t="s">
        <v>1016</v>
      </c>
      <c r="AA71" s="82">
        <v>2.1</v>
      </c>
      <c r="AB71" s="2588" t="s">
        <v>1091</v>
      </c>
      <c r="AC71" s="2588">
        <v>0.3</v>
      </c>
      <c r="AD71" s="10" t="s">
        <v>1092</v>
      </c>
      <c r="AE71" s="10">
        <v>3.0</v>
      </c>
      <c r="AF71" s="10" t="s">
        <v>1093</v>
      </c>
    </row>
    <row r="72" ht="12.75" customHeight="1">
      <c r="A72" s="1780" t="s">
        <v>1327</v>
      </c>
      <c r="F72" s="2392" t="s">
        <v>1328</v>
      </c>
      <c r="G72" s="2392"/>
      <c r="H72" s="34" t="s">
        <v>1329</v>
      </c>
      <c r="J72" s="34" t="s">
        <v>1330</v>
      </c>
      <c r="L72" s="2392" t="s">
        <v>1331</v>
      </c>
      <c r="M72" s="2392" t="s">
        <v>1316</v>
      </c>
      <c r="N72" s="2392" t="s">
        <v>1107</v>
      </c>
      <c r="O72" s="2392"/>
      <c r="Q72" s="2588"/>
      <c r="R72" s="2588"/>
      <c r="S72" s="2588" t="s">
        <v>1108</v>
      </c>
      <c r="T72" s="2594">
        <v>8.0</v>
      </c>
      <c r="V72" s="34">
        <v>0.8</v>
      </c>
      <c r="X72" s="82">
        <v>2.4</v>
      </c>
      <c r="Y72" s="34">
        <v>0.8</v>
      </c>
      <c r="Z72" s="10" t="s">
        <v>1016</v>
      </c>
      <c r="AA72" s="82">
        <v>2.4</v>
      </c>
      <c r="AB72" s="2588" t="s">
        <v>1091</v>
      </c>
      <c r="AC72" s="2588">
        <v>0.2</v>
      </c>
      <c r="AD72" s="10" t="s">
        <v>1092</v>
      </c>
      <c r="AE72" s="10">
        <v>3.0</v>
      </c>
      <c r="AF72" s="10" t="s">
        <v>1093</v>
      </c>
    </row>
    <row r="73" ht="12.75" customHeight="1">
      <c r="A73" s="1780" t="s">
        <v>1332</v>
      </c>
      <c r="F73" s="2392" t="s">
        <v>1333</v>
      </c>
      <c r="G73" s="2392"/>
      <c r="H73" s="34" t="s">
        <v>1173</v>
      </c>
      <c r="J73" s="34" t="s">
        <v>1334</v>
      </c>
      <c r="L73" s="2392" t="s">
        <v>1335</v>
      </c>
      <c r="M73" s="2392" t="s">
        <v>1336</v>
      </c>
      <c r="N73" s="2593" t="s">
        <v>1090</v>
      </c>
      <c r="O73" s="2392"/>
      <c r="Q73" s="2588"/>
      <c r="R73" s="2588"/>
      <c r="S73" s="2588" t="s">
        <v>1337</v>
      </c>
      <c r="T73" s="2594">
        <v>20.0</v>
      </c>
      <c r="V73" s="34">
        <v>0.4</v>
      </c>
      <c r="X73" s="82">
        <v>1.2</v>
      </c>
      <c r="Y73" s="34">
        <v>0.4</v>
      </c>
      <c r="Z73" s="2588" t="s">
        <v>1016</v>
      </c>
      <c r="AA73" s="82">
        <v>1.2</v>
      </c>
      <c r="AB73" s="2588" t="s">
        <v>1091</v>
      </c>
      <c r="AC73" s="2588">
        <v>0.5</v>
      </c>
      <c r="AD73" s="10" t="s">
        <v>1092</v>
      </c>
      <c r="AE73" s="10">
        <v>3.0</v>
      </c>
      <c r="AF73" s="10" t="s">
        <v>1093</v>
      </c>
    </row>
    <row r="74" ht="12.75" customHeight="1">
      <c r="A74" s="1780" t="s">
        <v>1338</v>
      </c>
      <c r="F74" s="2392" t="s">
        <v>1339</v>
      </c>
      <c r="G74" s="2392"/>
      <c r="H74" s="1780" t="s">
        <v>1340</v>
      </c>
      <c r="J74" s="34" t="s">
        <v>1341</v>
      </c>
      <c r="L74" s="2392" t="s">
        <v>1342</v>
      </c>
      <c r="M74" s="2392" t="s">
        <v>1336</v>
      </c>
      <c r="N74" s="2392" t="s">
        <v>1097</v>
      </c>
      <c r="O74" s="2392"/>
      <c r="Q74" s="2588"/>
      <c r="R74" s="2588"/>
      <c r="S74" s="10" t="s">
        <v>1027</v>
      </c>
      <c r="T74" s="2594">
        <v>15.0</v>
      </c>
      <c r="V74" s="34">
        <v>0.6</v>
      </c>
      <c r="X74" s="82">
        <v>1.8</v>
      </c>
      <c r="Y74" s="34">
        <v>0.6</v>
      </c>
      <c r="Z74" s="2588" t="s">
        <v>1016</v>
      </c>
      <c r="AA74" s="82">
        <v>1.8</v>
      </c>
      <c r="AB74" s="2588" t="s">
        <v>1091</v>
      </c>
      <c r="AC74" s="2588">
        <v>0.4</v>
      </c>
      <c r="AD74" s="10" t="s">
        <v>1092</v>
      </c>
      <c r="AE74" s="10">
        <v>3.0</v>
      </c>
      <c r="AF74" s="10" t="s">
        <v>1093</v>
      </c>
    </row>
    <row r="75" ht="12.75" customHeight="1">
      <c r="A75" s="1780" t="s">
        <v>1343</v>
      </c>
      <c r="H75" s="34" t="s">
        <v>1344</v>
      </c>
      <c r="J75" s="34" t="s">
        <v>1345</v>
      </c>
      <c r="L75" s="2392" t="s">
        <v>1346</v>
      </c>
      <c r="M75" s="2392" t="s">
        <v>1336</v>
      </c>
      <c r="N75" s="2392" t="s">
        <v>1101</v>
      </c>
      <c r="O75" s="2392"/>
      <c r="Q75" s="2588"/>
      <c r="S75" s="10" t="s">
        <v>1125</v>
      </c>
      <c r="T75" s="2594">
        <v>12.0</v>
      </c>
      <c r="V75" s="34">
        <v>0.7</v>
      </c>
      <c r="X75" s="34">
        <v>2.1</v>
      </c>
      <c r="Y75" s="34">
        <v>0.7</v>
      </c>
      <c r="Z75" s="2588" t="s">
        <v>1016</v>
      </c>
      <c r="AA75" s="34">
        <v>2.1</v>
      </c>
      <c r="AB75" s="2588" t="s">
        <v>1091</v>
      </c>
      <c r="AC75" s="2588">
        <v>0.3</v>
      </c>
      <c r="AD75" s="10" t="s">
        <v>1092</v>
      </c>
      <c r="AE75" s="10">
        <v>3.0</v>
      </c>
      <c r="AF75" s="10" t="s">
        <v>1093</v>
      </c>
    </row>
    <row r="76" ht="12.75" customHeight="1">
      <c r="A76" s="1780" t="s">
        <v>1347</v>
      </c>
      <c r="F76" s="439" t="s">
        <v>1348</v>
      </c>
      <c r="H76" s="34" t="s">
        <v>1349</v>
      </c>
      <c r="J76" s="34" t="s">
        <v>1350</v>
      </c>
      <c r="L76" s="2392" t="s">
        <v>1351</v>
      </c>
      <c r="M76" s="2392" t="s">
        <v>1336</v>
      </c>
      <c r="N76" s="2392" t="s">
        <v>1107</v>
      </c>
      <c r="O76" s="2392"/>
      <c r="S76" s="10" t="s">
        <v>1131</v>
      </c>
      <c r="T76" s="2594">
        <v>12.0</v>
      </c>
      <c r="V76" s="34">
        <v>0.8</v>
      </c>
      <c r="W76" s="2588"/>
      <c r="X76" s="34">
        <v>2.4</v>
      </c>
      <c r="Y76" s="34">
        <v>0.8</v>
      </c>
      <c r="Z76" s="2588" t="s">
        <v>1016</v>
      </c>
      <c r="AA76" s="34">
        <v>2.4</v>
      </c>
      <c r="AB76" s="2588" t="s">
        <v>1091</v>
      </c>
      <c r="AC76" s="2588">
        <v>0.2</v>
      </c>
      <c r="AD76" s="10" t="s">
        <v>1092</v>
      </c>
      <c r="AE76" s="10">
        <v>3.0</v>
      </c>
      <c r="AF76" s="10" t="s">
        <v>1093</v>
      </c>
    </row>
    <row r="77" ht="12.75" customHeight="1">
      <c r="A77" s="1780" t="s">
        <v>1352</v>
      </c>
      <c r="F77" s="34" t="s">
        <v>802</v>
      </c>
      <c r="H77" s="34" t="s">
        <v>1353</v>
      </c>
      <c r="J77" s="34" t="s">
        <v>1354</v>
      </c>
      <c r="L77" s="2392" t="s">
        <v>1355</v>
      </c>
      <c r="M77" s="2392" t="s">
        <v>1336</v>
      </c>
      <c r="N77" s="2593" t="s">
        <v>1137</v>
      </c>
      <c r="O77" s="2392"/>
      <c r="S77" s="10" t="s">
        <v>1131</v>
      </c>
      <c r="T77" s="2594">
        <v>12.0</v>
      </c>
      <c r="V77" s="34">
        <v>0.8</v>
      </c>
      <c r="W77" s="2588"/>
      <c r="X77" s="34">
        <v>3.2</v>
      </c>
      <c r="Y77" s="34">
        <v>0.8</v>
      </c>
      <c r="Z77" s="2588" t="s">
        <v>1016</v>
      </c>
      <c r="AA77" s="34">
        <v>3.2</v>
      </c>
      <c r="AB77" s="2588" t="s">
        <v>1091</v>
      </c>
      <c r="AC77" s="2588">
        <v>0.2</v>
      </c>
      <c r="AD77" s="10" t="s">
        <v>1092</v>
      </c>
      <c r="AE77" s="10">
        <v>3.0</v>
      </c>
      <c r="AF77" s="10" t="s">
        <v>1093</v>
      </c>
    </row>
    <row r="78" ht="12.75" customHeight="1">
      <c r="A78" s="1780" t="s">
        <v>1356</v>
      </c>
      <c r="F78" s="34" t="s">
        <v>1357</v>
      </c>
      <c r="H78" s="34" t="s">
        <v>1358</v>
      </c>
      <c r="J78" s="34" t="s">
        <v>1359</v>
      </c>
      <c r="L78" s="2392" t="s">
        <v>1360</v>
      </c>
      <c r="M78" s="2392" t="s">
        <v>1361</v>
      </c>
      <c r="N78" s="2593" t="s">
        <v>1090</v>
      </c>
      <c r="O78" s="2392"/>
      <c r="S78" s="10" t="s">
        <v>1027</v>
      </c>
      <c r="T78" s="2594">
        <v>20.0</v>
      </c>
      <c r="U78" s="2588"/>
      <c r="V78" s="34">
        <v>0.4</v>
      </c>
      <c r="W78" s="2588"/>
      <c r="X78" s="34">
        <v>1.2</v>
      </c>
      <c r="Y78" s="34">
        <v>0.4</v>
      </c>
      <c r="Z78" s="2588" t="s">
        <v>1016</v>
      </c>
      <c r="AA78" s="34">
        <v>1.2</v>
      </c>
      <c r="AB78" s="2588" t="s">
        <v>1091</v>
      </c>
      <c r="AC78" s="2588">
        <v>0.5</v>
      </c>
      <c r="AD78" s="10" t="s">
        <v>1092</v>
      </c>
      <c r="AE78" s="10">
        <v>3.0</v>
      </c>
      <c r="AF78" s="10" t="s">
        <v>1093</v>
      </c>
    </row>
    <row r="79" ht="12.75" customHeight="1">
      <c r="F79" s="1780" t="s">
        <v>1362</v>
      </c>
      <c r="H79" s="34" t="s">
        <v>1363</v>
      </c>
      <c r="J79" s="34" t="s">
        <v>1364</v>
      </c>
      <c r="L79" s="2392" t="s">
        <v>1365</v>
      </c>
      <c r="M79" s="2392" t="s">
        <v>1361</v>
      </c>
      <c r="N79" s="2392" t="s">
        <v>1097</v>
      </c>
      <c r="O79" s="2392"/>
      <c r="S79" s="10" t="s">
        <v>1022</v>
      </c>
      <c r="T79" s="2594">
        <v>15.0</v>
      </c>
      <c r="U79" s="2588"/>
      <c r="V79" s="34">
        <v>0.6</v>
      </c>
      <c r="W79" s="2588"/>
      <c r="X79" s="34">
        <v>1.8</v>
      </c>
      <c r="Y79" s="34">
        <v>0.6</v>
      </c>
      <c r="Z79" s="2588" t="s">
        <v>1016</v>
      </c>
      <c r="AA79" s="34">
        <v>1.8</v>
      </c>
      <c r="AB79" s="2588" t="s">
        <v>1091</v>
      </c>
      <c r="AC79" s="2588">
        <v>0.4</v>
      </c>
      <c r="AD79" s="10" t="s">
        <v>1092</v>
      </c>
      <c r="AE79" s="10">
        <v>3.0</v>
      </c>
      <c r="AF79" s="10" t="s">
        <v>1093</v>
      </c>
    </row>
    <row r="80" ht="12.75" customHeight="1">
      <c r="F80" s="34" t="s">
        <v>1366</v>
      </c>
      <c r="J80" s="34" t="s">
        <v>1367</v>
      </c>
      <c r="L80" s="2392" t="s">
        <v>1368</v>
      </c>
      <c r="M80" s="2392" t="s">
        <v>1361</v>
      </c>
      <c r="N80" s="2392" t="s">
        <v>1101</v>
      </c>
      <c r="O80" s="2392"/>
      <c r="S80" s="2588" t="s">
        <v>1125</v>
      </c>
      <c r="T80" s="2594">
        <v>12.0</v>
      </c>
      <c r="U80" s="2588"/>
      <c r="V80" s="34">
        <v>0.7</v>
      </c>
      <c r="W80" s="2588"/>
      <c r="X80" s="34">
        <v>2.1</v>
      </c>
      <c r="Y80" s="34">
        <v>0.7</v>
      </c>
      <c r="Z80" s="2588" t="s">
        <v>1016</v>
      </c>
      <c r="AA80" s="34">
        <v>2.1</v>
      </c>
      <c r="AB80" s="2588" t="s">
        <v>1091</v>
      </c>
      <c r="AC80" s="2588">
        <v>0.3</v>
      </c>
      <c r="AD80" s="10" t="s">
        <v>1092</v>
      </c>
      <c r="AE80" s="10">
        <v>3.0</v>
      </c>
      <c r="AF80" s="10" t="s">
        <v>1093</v>
      </c>
    </row>
    <row r="81" ht="12.75" customHeight="1">
      <c r="A81" s="439" t="s">
        <v>1369</v>
      </c>
      <c r="F81" s="439" t="s">
        <v>1370</v>
      </c>
      <c r="J81" s="34" t="s">
        <v>1371</v>
      </c>
      <c r="L81" s="2392" t="s">
        <v>1372</v>
      </c>
      <c r="M81" s="2392" t="s">
        <v>1361</v>
      </c>
      <c r="N81" s="2392" t="s">
        <v>1107</v>
      </c>
      <c r="O81" s="2392"/>
      <c r="R81" s="2588"/>
      <c r="S81" s="2588" t="s">
        <v>1131</v>
      </c>
      <c r="T81" s="2594">
        <v>12.0</v>
      </c>
      <c r="U81" s="2588"/>
      <c r="V81" s="34">
        <v>0.8</v>
      </c>
      <c r="W81" s="2588"/>
      <c r="X81" s="34">
        <v>2.4</v>
      </c>
      <c r="Y81" s="34">
        <v>0.8</v>
      </c>
      <c r="Z81" s="2588" t="s">
        <v>1016</v>
      </c>
      <c r="AA81" s="34">
        <v>2.4</v>
      </c>
      <c r="AB81" s="2588" t="s">
        <v>1091</v>
      </c>
      <c r="AC81" s="2588">
        <v>0.2</v>
      </c>
      <c r="AD81" s="10" t="s">
        <v>1092</v>
      </c>
      <c r="AE81" s="10">
        <v>3.0</v>
      </c>
      <c r="AF81" s="10" t="s">
        <v>1093</v>
      </c>
    </row>
    <row r="82" ht="12.75" customHeight="1">
      <c r="F82" s="34" t="s">
        <v>1373</v>
      </c>
      <c r="L82" s="2392" t="s">
        <v>1374</v>
      </c>
      <c r="M82" s="2392" t="s">
        <v>1361</v>
      </c>
      <c r="N82" s="2593" t="s">
        <v>1137</v>
      </c>
      <c r="O82" s="2392"/>
      <c r="Q82" s="2588"/>
      <c r="R82" s="2588"/>
      <c r="S82" s="2588" t="s">
        <v>1131</v>
      </c>
      <c r="T82" s="2594">
        <v>12.0</v>
      </c>
      <c r="U82" s="2588"/>
      <c r="V82" s="34">
        <v>0.8</v>
      </c>
      <c r="W82" s="2588"/>
      <c r="X82" s="34">
        <v>3.2</v>
      </c>
      <c r="Y82" s="34">
        <v>0.8</v>
      </c>
      <c r="Z82" s="2588" t="s">
        <v>1016</v>
      </c>
      <c r="AA82" s="34">
        <v>3.2</v>
      </c>
      <c r="AB82" s="2588" t="s">
        <v>1091</v>
      </c>
      <c r="AC82" s="2588">
        <v>0.2</v>
      </c>
      <c r="AD82" s="10" t="s">
        <v>1092</v>
      </c>
      <c r="AE82" s="10">
        <v>3.0</v>
      </c>
      <c r="AF82" s="10" t="s">
        <v>1093</v>
      </c>
    </row>
    <row r="83" ht="12.75" customHeight="1">
      <c r="A83" s="2392" t="s">
        <v>1375</v>
      </c>
      <c r="B83" s="2392"/>
      <c r="F83" s="34" t="s">
        <v>803</v>
      </c>
      <c r="L83" s="2392" t="s">
        <v>1376</v>
      </c>
      <c r="M83" s="2392" t="s">
        <v>1377</v>
      </c>
      <c r="N83" s="2392" t="s">
        <v>1377</v>
      </c>
      <c r="O83" s="2392"/>
      <c r="Q83" s="2588"/>
      <c r="S83" s="2588" t="s">
        <v>1033</v>
      </c>
      <c r="T83" s="2594">
        <v>20.0</v>
      </c>
      <c r="U83" s="2588"/>
      <c r="V83" s="34">
        <v>0.8</v>
      </c>
      <c r="W83" s="2588"/>
      <c r="X83" s="34">
        <v>2.4</v>
      </c>
      <c r="Y83" s="34">
        <v>0.8</v>
      </c>
      <c r="Z83" s="2588" t="s">
        <v>1016</v>
      </c>
      <c r="AA83" s="34">
        <v>2.4</v>
      </c>
      <c r="AB83" s="2588" t="s">
        <v>1091</v>
      </c>
      <c r="AC83" s="2588">
        <v>0.2</v>
      </c>
      <c r="AD83" s="10" t="s">
        <v>1092</v>
      </c>
      <c r="AE83" s="10" t="s">
        <v>1171</v>
      </c>
    </row>
    <row r="84" ht="12.75" customHeight="1">
      <c r="A84" s="2593" t="s">
        <v>1378</v>
      </c>
      <c r="B84" s="2392"/>
      <c r="F84" s="34" t="s">
        <v>1379</v>
      </c>
      <c r="L84" s="2392" t="s">
        <v>766</v>
      </c>
      <c r="M84" s="2392" t="s">
        <v>1380</v>
      </c>
      <c r="N84" s="2392" t="s">
        <v>1380</v>
      </c>
      <c r="O84" s="2392"/>
      <c r="Q84" s="2588"/>
      <c r="S84" s="2588" t="s">
        <v>1022</v>
      </c>
      <c r="T84" s="2594">
        <v>15.0</v>
      </c>
      <c r="U84" s="2588"/>
      <c r="V84" s="34">
        <v>0.8</v>
      </c>
      <c r="W84" s="2588"/>
      <c r="X84" s="34">
        <v>0.8</v>
      </c>
      <c r="Y84" s="34">
        <v>0.8</v>
      </c>
      <c r="Z84" s="2588" t="s">
        <v>1016</v>
      </c>
      <c r="AA84" s="34">
        <v>0.8</v>
      </c>
      <c r="AB84" s="2588">
        <v>20.0</v>
      </c>
      <c r="AC84" s="2588" t="s">
        <v>1092</v>
      </c>
      <c r="AD84" s="10" t="s">
        <v>1171</v>
      </c>
      <c r="AE84" s="2588" t="s">
        <v>1093</v>
      </c>
    </row>
    <row r="85" ht="12.75" customHeight="1">
      <c r="A85" s="2392" t="s">
        <v>1381</v>
      </c>
      <c r="B85" s="2392"/>
      <c r="F85" s="1780" t="s">
        <v>1382</v>
      </c>
      <c r="L85" s="2392" t="s">
        <v>1383</v>
      </c>
      <c r="M85" s="2392" t="s">
        <v>1384</v>
      </c>
      <c r="N85" s="2392" t="s">
        <v>1385</v>
      </c>
      <c r="O85" s="2392"/>
      <c r="Q85" s="2588"/>
      <c r="S85" s="2588" t="s">
        <v>1386</v>
      </c>
      <c r="T85" s="2588" t="s">
        <v>948</v>
      </c>
      <c r="U85" s="2588" t="s">
        <v>1387</v>
      </c>
      <c r="V85" s="2588" t="s">
        <v>949</v>
      </c>
      <c r="W85" s="2588" t="s">
        <v>1388</v>
      </c>
      <c r="X85" s="2588" t="s">
        <v>1389</v>
      </c>
      <c r="Y85" s="2588" t="s">
        <v>955</v>
      </c>
      <c r="Z85" s="2588" t="s">
        <v>1390</v>
      </c>
      <c r="AB85" s="1780" t="s">
        <v>1391</v>
      </c>
      <c r="AD85" s="10" t="s">
        <v>957</v>
      </c>
      <c r="AE85" s="10" t="s">
        <v>959</v>
      </c>
      <c r="AG85" s="10" t="s">
        <v>960</v>
      </c>
      <c r="AI85" s="10" t="s">
        <v>961</v>
      </c>
    </row>
    <row r="86" ht="12.75" customHeight="1">
      <c r="A86" s="2392" t="s">
        <v>1392</v>
      </c>
      <c r="B86" s="2392"/>
      <c r="F86" s="34" t="s">
        <v>1393</v>
      </c>
      <c r="L86" s="2392" t="s">
        <v>1394</v>
      </c>
      <c r="M86" s="2392" t="s">
        <v>1395</v>
      </c>
      <c r="N86" s="2392" t="s">
        <v>1395</v>
      </c>
      <c r="O86" s="2392"/>
      <c r="Q86" s="2588"/>
      <c r="T86" s="10" t="s">
        <v>1108</v>
      </c>
      <c r="U86" s="10" t="s">
        <v>1396</v>
      </c>
      <c r="V86" s="10" t="s">
        <v>1397</v>
      </c>
      <c r="W86" s="10">
        <v>0.8</v>
      </c>
      <c r="X86" s="10">
        <v>1.6</v>
      </c>
      <c r="Y86" s="10" t="s">
        <v>1016</v>
      </c>
      <c r="Z86" s="10" t="s">
        <v>1398</v>
      </c>
      <c r="AB86" s="2588">
        <v>0.2</v>
      </c>
      <c r="AD86" s="10" t="s">
        <v>1063</v>
      </c>
      <c r="AG86" s="10" t="s">
        <v>1063</v>
      </c>
      <c r="AI86" s="720" t="s">
        <v>1399</v>
      </c>
    </row>
    <row r="87" ht="12.75" customHeight="1">
      <c r="A87" s="2392" t="s">
        <v>1400</v>
      </c>
      <c r="B87" s="2392"/>
      <c r="F87" s="439" t="s">
        <v>1401</v>
      </c>
      <c r="L87" s="2392" t="s">
        <v>1402</v>
      </c>
      <c r="M87" s="2392" t="s">
        <v>1403</v>
      </c>
      <c r="N87" s="2392" t="s">
        <v>1404</v>
      </c>
      <c r="O87" s="2392"/>
      <c r="Q87" s="2588"/>
      <c r="R87" s="2588"/>
      <c r="S87" s="2588" t="s">
        <v>1405</v>
      </c>
      <c r="T87" s="2588"/>
      <c r="U87" s="2588" t="s">
        <v>1022</v>
      </c>
      <c r="V87" s="2588"/>
      <c r="W87" s="2588" t="s">
        <v>1405</v>
      </c>
      <c r="X87" s="2588">
        <v>15.0</v>
      </c>
      <c r="Y87" s="2588"/>
      <c r="Z87" s="10">
        <v>0.8</v>
      </c>
      <c r="AA87" s="2588" t="s">
        <v>1406</v>
      </c>
      <c r="AC87" s="10" t="s">
        <v>1016</v>
      </c>
      <c r="AD87" s="10" t="s">
        <v>1398</v>
      </c>
      <c r="AF87" s="2588">
        <v>0.2</v>
      </c>
      <c r="AG87" s="10" t="s">
        <v>1183</v>
      </c>
      <c r="AI87" s="10" t="s">
        <v>1405</v>
      </c>
      <c r="AJ87" s="10" t="s">
        <v>1407</v>
      </c>
      <c r="AL87" s="10" t="s">
        <v>1399</v>
      </c>
    </row>
    <row r="88" ht="12.75" customHeight="1">
      <c r="A88" s="2392" t="s">
        <v>1408</v>
      </c>
      <c r="B88" s="2392"/>
      <c r="F88" s="34" t="s">
        <v>803</v>
      </c>
      <c r="L88" s="2392" t="s">
        <v>1409</v>
      </c>
      <c r="M88" s="2392" t="s">
        <v>1410</v>
      </c>
      <c r="N88" s="2392" t="s">
        <v>1411</v>
      </c>
      <c r="O88" s="2392"/>
      <c r="Q88" s="2588"/>
      <c r="R88" s="2588"/>
      <c r="S88" s="2588" t="s">
        <v>1405</v>
      </c>
      <c r="T88" s="2588"/>
      <c r="U88" s="2588" t="s">
        <v>1412</v>
      </c>
      <c r="V88" s="2588"/>
      <c r="W88" s="2588" t="s">
        <v>1405</v>
      </c>
      <c r="X88" s="2588">
        <v>20.0</v>
      </c>
      <c r="Z88" s="34">
        <v>0.7</v>
      </c>
      <c r="AB88" s="10" t="s">
        <v>1413</v>
      </c>
      <c r="AD88" s="10" t="s">
        <v>1016</v>
      </c>
      <c r="AE88" s="2588" t="s">
        <v>1398</v>
      </c>
      <c r="AF88" s="2588">
        <v>0.2</v>
      </c>
      <c r="AG88" s="10" t="s">
        <v>1183</v>
      </c>
      <c r="AH88" s="10" t="s">
        <v>1405</v>
      </c>
      <c r="AI88" s="10" t="s">
        <v>1407</v>
      </c>
      <c r="AL88" s="10" t="s">
        <v>1399</v>
      </c>
    </row>
    <row r="89" ht="12.75" customHeight="1">
      <c r="A89" s="2392" t="s">
        <v>1414</v>
      </c>
      <c r="B89" s="2392"/>
      <c r="F89" s="1780" t="s">
        <v>1415</v>
      </c>
      <c r="L89" s="2392" t="s">
        <v>1416</v>
      </c>
      <c r="M89" s="2392" t="s">
        <v>1417</v>
      </c>
      <c r="N89" s="2392" t="s">
        <v>1418</v>
      </c>
      <c r="O89" s="2392"/>
      <c r="Q89" s="2588"/>
      <c r="R89" s="2588"/>
      <c r="S89" s="2588" t="s">
        <v>1405</v>
      </c>
      <c r="T89" s="2588"/>
      <c r="U89" s="2588" t="s">
        <v>1419</v>
      </c>
      <c r="V89" s="2588"/>
      <c r="W89" s="2588" t="s">
        <v>1405</v>
      </c>
      <c r="X89" s="2588">
        <v>30.0</v>
      </c>
      <c r="Z89" s="34">
        <v>0.7</v>
      </c>
      <c r="AB89" s="10" t="s">
        <v>1413</v>
      </c>
      <c r="AD89" s="10" t="s">
        <v>1016</v>
      </c>
      <c r="AE89" s="2588" t="s">
        <v>1398</v>
      </c>
      <c r="AF89" s="2588">
        <v>0.2</v>
      </c>
      <c r="AG89" s="10" t="s">
        <v>1183</v>
      </c>
      <c r="AH89" s="10" t="s">
        <v>1405</v>
      </c>
      <c r="AI89" s="10" t="s">
        <v>1407</v>
      </c>
      <c r="AL89" s="10" t="s">
        <v>1399</v>
      </c>
    </row>
    <row r="90" ht="12.75" customHeight="1">
      <c r="A90" s="2392" t="s">
        <v>611</v>
      </c>
      <c r="B90" s="2392"/>
      <c r="F90" s="34" t="s">
        <v>1393</v>
      </c>
      <c r="L90" s="2392" t="s">
        <v>1420</v>
      </c>
      <c r="M90" s="2392" t="s">
        <v>1421</v>
      </c>
      <c r="N90" s="2392" t="s">
        <v>1421</v>
      </c>
      <c r="O90" s="2392"/>
      <c r="Q90" s="2588"/>
      <c r="R90" s="2588"/>
      <c r="S90" s="2588" t="s">
        <v>1422</v>
      </c>
      <c r="T90" s="2588"/>
      <c r="U90" s="2588" t="s">
        <v>1022</v>
      </c>
      <c r="V90" s="2588"/>
      <c r="W90" s="2588" t="s">
        <v>1405</v>
      </c>
      <c r="X90" s="2588">
        <v>15.0</v>
      </c>
      <c r="Z90" s="34">
        <v>0.5</v>
      </c>
      <c r="AB90" s="10" t="s">
        <v>1423</v>
      </c>
      <c r="AD90" s="10" t="s">
        <v>1016</v>
      </c>
      <c r="AE90" s="2588" t="s">
        <v>1398</v>
      </c>
      <c r="AF90" s="2588">
        <v>0.2</v>
      </c>
      <c r="AG90" s="10" t="s">
        <v>1183</v>
      </c>
      <c r="AH90" s="10" t="s">
        <v>1424</v>
      </c>
      <c r="AI90" s="10">
        <v>12.0</v>
      </c>
      <c r="AL90" s="10" t="s">
        <v>1425</v>
      </c>
    </row>
    <row r="91" ht="12.75" customHeight="1">
      <c r="A91" s="2593" t="s">
        <v>1426</v>
      </c>
      <c r="B91" s="2392"/>
      <c r="F91" s="439" t="s">
        <v>305</v>
      </c>
      <c r="G91" s="1387" t="s">
        <v>1427</v>
      </c>
      <c r="H91" s="439" t="s">
        <v>1428</v>
      </c>
      <c r="I91" s="439" t="s">
        <v>1429</v>
      </c>
      <c r="J91" s="1387" t="s">
        <v>1430</v>
      </c>
      <c r="K91" s="34"/>
      <c r="L91" s="2392" t="s">
        <v>1431</v>
      </c>
      <c r="M91" s="2392" t="s">
        <v>1432</v>
      </c>
      <c r="N91" s="2392" t="s">
        <v>1432</v>
      </c>
      <c r="O91" s="2392"/>
      <c r="Q91" s="2588"/>
    </row>
    <row r="92" ht="12.75" customHeight="1">
      <c r="A92" s="2392" t="s">
        <v>1433</v>
      </c>
      <c r="B92" s="2392"/>
      <c r="F92" s="34" t="s">
        <v>1434</v>
      </c>
      <c r="G92" s="34" t="s">
        <v>779</v>
      </c>
      <c r="H92" s="34" t="s">
        <v>780</v>
      </c>
      <c r="I92" s="34" t="s">
        <v>781</v>
      </c>
      <c r="J92" s="1780" t="s">
        <v>784</v>
      </c>
      <c r="K92" s="34"/>
      <c r="L92" s="2392" t="s">
        <v>1435</v>
      </c>
      <c r="M92" s="2392" t="s">
        <v>1436</v>
      </c>
      <c r="N92" s="2392" t="s">
        <v>1436</v>
      </c>
      <c r="O92" s="2392"/>
      <c r="Q92" s="2588"/>
    </row>
    <row r="93" ht="12.75" customHeight="1">
      <c r="A93" s="2392" t="s">
        <v>736</v>
      </c>
      <c r="B93" s="2392"/>
      <c r="F93" s="34" t="s">
        <v>801</v>
      </c>
      <c r="G93" s="34" t="s">
        <v>1437</v>
      </c>
      <c r="H93" s="34" t="s">
        <v>1438</v>
      </c>
      <c r="I93" s="1780" t="s">
        <v>1439</v>
      </c>
      <c r="J93" s="1780" t="s">
        <v>1440</v>
      </c>
      <c r="K93" s="34"/>
      <c r="L93" s="2392" t="s">
        <v>1441</v>
      </c>
      <c r="M93" s="2392" t="s">
        <v>1442</v>
      </c>
      <c r="N93" s="2392" t="s">
        <v>1442</v>
      </c>
      <c r="O93" s="2392"/>
      <c r="Q93" s="2588"/>
    </row>
    <row r="94" ht="12.75" customHeight="1">
      <c r="A94" s="2392" t="s">
        <v>1443</v>
      </c>
      <c r="B94" s="2392"/>
      <c r="F94" s="34" t="s">
        <v>1444</v>
      </c>
      <c r="G94" s="34"/>
      <c r="H94" s="34" t="s">
        <v>1445</v>
      </c>
      <c r="I94" s="34" t="s">
        <v>772</v>
      </c>
      <c r="J94" s="1780" t="s">
        <v>1446</v>
      </c>
      <c r="K94" s="34"/>
      <c r="L94" s="2392" t="s">
        <v>1447</v>
      </c>
      <c r="M94" s="2392" t="s">
        <v>1448</v>
      </c>
      <c r="N94" s="2392" t="s">
        <v>1448</v>
      </c>
      <c r="O94" s="2392"/>
      <c r="Q94" s="2588"/>
    </row>
    <row r="95" ht="12.75" customHeight="1">
      <c r="A95" s="2392" t="s">
        <v>1449</v>
      </c>
      <c r="B95" s="2392"/>
      <c r="F95" s="34" t="s">
        <v>1450</v>
      </c>
      <c r="H95" s="34"/>
      <c r="I95" s="2597"/>
      <c r="J95" s="34" t="s">
        <v>772</v>
      </c>
      <c r="K95" s="34"/>
      <c r="L95" s="2392" t="s">
        <v>1451</v>
      </c>
      <c r="M95" s="2392" t="s">
        <v>1452</v>
      </c>
      <c r="N95" s="2392" t="s">
        <v>1452</v>
      </c>
      <c r="O95" s="2392"/>
    </row>
    <row r="96" ht="12.75" customHeight="1">
      <c r="A96" s="2392" t="s">
        <v>1453</v>
      </c>
      <c r="B96" s="2392"/>
      <c r="F96" s="439" t="s">
        <v>1454</v>
      </c>
      <c r="G96" s="439" t="s">
        <v>1455</v>
      </c>
      <c r="H96" s="1387" t="s">
        <v>1456</v>
      </c>
      <c r="I96" s="439" t="s">
        <v>1457</v>
      </c>
      <c r="J96" s="439" t="s">
        <v>815</v>
      </c>
      <c r="K96" s="34"/>
      <c r="L96" s="2392" t="s">
        <v>1458</v>
      </c>
      <c r="M96" s="2392" t="s">
        <v>1459</v>
      </c>
      <c r="N96" s="2392" t="s">
        <v>1459</v>
      </c>
      <c r="O96" s="2392"/>
      <c r="Q96" s="2588"/>
    </row>
    <row r="97" ht="12.75" customHeight="1">
      <c r="A97" s="2593" t="s">
        <v>1460</v>
      </c>
      <c r="B97" s="2392"/>
      <c r="F97" s="34" t="s">
        <v>1461</v>
      </c>
      <c r="G97" s="1780" t="s">
        <v>784</v>
      </c>
      <c r="H97" s="1780" t="s">
        <v>784</v>
      </c>
      <c r="I97" s="34" t="s">
        <v>787</v>
      </c>
      <c r="J97" s="34" t="s">
        <v>788</v>
      </c>
      <c r="K97" s="34"/>
      <c r="L97" s="2392" t="s">
        <v>1462</v>
      </c>
      <c r="M97" s="2392" t="s">
        <v>1463</v>
      </c>
      <c r="N97" s="2392" t="s">
        <v>1463</v>
      </c>
      <c r="O97" s="2392"/>
    </row>
    <row r="98" ht="12.75" customHeight="1">
      <c r="A98" s="2392" t="s">
        <v>791</v>
      </c>
      <c r="B98" s="2392"/>
      <c r="F98" s="34" t="s">
        <v>785</v>
      </c>
      <c r="G98" s="1780" t="s">
        <v>1440</v>
      </c>
      <c r="H98" s="1780" t="s">
        <v>1440</v>
      </c>
      <c r="I98" s="1780" t="s">
        <v>1464</v>
      </c>
      <c r="J98" s="34" t="s">
        <v>1465</v>
      </c>
      <c r="K98" s="34"/>
      <c r="L98" s="2392" t="s">
        <v>1466</v>
      </c>
      <c r="M98" s="2392" t="s">
        <v>1467</v>
      </c>
      <c r="N98" s="2392" t="s">
        <v>1468</v>
      </c>
      <c r="O98" s="2392"/>
    </row>
    <row r="99" ht="12.75" customHeight="1">
      <c r="A99" s="2392" t="s">
        <v>1469</v>
      </c>
      <c r="B99" s="2392"/>
      <c r="F99" s="34" t="s">
        <v>1470</v>
      </c>
      <c r="G99" s="1780" t="s">
        <v>1446</v>
      </c>
      <c r="H99" s="224" t="s">
        <v>1471</v>
      </c>
      <c r="I99" s="1780" t="s">
        <v>1472</v>
      </c>
      <c r="J99" s="2598" t="s">
        <v>1473</v>
      </c>
      <c r="K99" s="224"/>
      <c r="L99" s="2392" t="s">
        <v>1474</v>
      </c>
      <c r="M99" s="2392" t="s">
        <v>1475</v>
      </c>
      <c r="N99" s="2392" t="s">
        <v>1476</v>
      </c>
      <c r="O99" s="2392"/>
    </row>
    <row r="100" ht="12.75" customHeight="1">
      <c r="A100" s="2593" t="s">
        <v>1477</v>
      </c>
      <c r="B100" s="2392"/>
      <c r="F100" s="34"/>
      <c r="I100" s="34" t="s">
        <v>1478</v>
      </c>
      <c r="J100" s="224"/>
      <c r="L100" s="2392" t="s">
        <v>1479</v>
      </c>
      <c r="M100" s="2392" t="s">
        <v>1480</v>
      </c>
      <c r="N100" s="2392" t="s">
        <v>1481</v>
      </c>
      <c r="O100" s="2392"/>
    </row>
    <row r="101" ht="12.75" customHeight="1">
      <c r="A101" s="2593" t="s">
        <v>1482</v>
      </c>
      <c r="B101" s="2392"/>
      <c r="F101" s="34"/>
      <c r="G101" s="34"/>
      <c r="H101" s="224"/>
      <c r="I101" s="224" t="s">
        <v>1483</v>
      </c>
      <c r="J101" s="224"/>
      <c r="K101" s="224"/>
      <c r="L101" s="2392" t="s">
        <v>1484</v>
      </c>
      <c r="M101" s="2392" t="s">
        <v>1485</v>
      </c>
      <c r="N101" s="2392" t="s">
        <v>1485</v>
      </c>
      <c r="O101" s="2392"/>
      <c r="Q101" s="2588"/>
    </row>
    <row r="102" ht="12.75" customHeight="1">
      <c r="A102" s="2392" t="s">
        <v>1486</v>
      </c>
      <c r="F102" s="34"/>
      <c r="G102" s="34"/>
      <c r="H102" s="224"/>
      <c r="I102" s="224" t="s">
        <v>772</v>
      </c>
      <c r="J102" s="224"/>
      <c r="K102" s="224"/>
      <c r="L102" s="2392" t="s">
        <v>1487</v>
      </c>
      <c r="M102" s="2392" t="s">
        <v>1488</v>
      </c>
      <c r="N102" s="2392" t="s">
        <v>1488</v>
      </c>
      <c r="O102" s="2392"/>
      <c r="R102" s="2588"/>
    </row>
    <row r="103" ht="12.75" customHeight="1">
      <c r="A103" s="2392" t="s">
        <v>1489</v>
      </c>
      <c r="F103" s="34"/>
      <c r="G103" s="34"/>
      <c r="H103" s="224"/>
      <c r="I103" s="224" t="s">
        <v>1490</v>
      </c>
      <c r="J103" s="224"/>
      <c r="K103" s="34"/>
      <c r="L103" s="2392" t="s">
        <v>1491</v>
      </c>
      <c r="M103" s="2392" t="s">
        <v>1492</v>
      </c>
      <c r="N103" s="2392" t="s">
        <v>1492</v>
      </c>
      <c r="O103" s="2392"/>
      <c r="Q103" s="2588"/>
    </row>
    <row r="104" ht="12.75" customHeight="1">
      <c r="F104" s="34"/>
      <c r="G104" s="224"/>
      <c r="H104" s="224"/>
      <c r="I104" s="224" t="s">
        <v>1493</v>
      </c>
      <c r="J104" s="224"/>
      <c r="K104" s="34"/>
      <c r="L104" s="2392" t="s">
        <v>1494</v>
      </c>
      <c r="M104" s="2392" t="s">
        <v>1495</v>
      </c>
      <c r="N104" s="2392" t="s">
        <v>1495</v>
      </c>
      <c r="O104" s="2392"/>
    </row>
    <row r="105" ht="12.75" customHeight="1">
      <c r="A105" s="2392"/>
      <c r="F105" s="34"/>
    </row>
    <row r="106" ht="12.75" customHeight="1">
      <c r="A106" s="2392"/>
      <c r="F106" s="34"/>
      <c r="G106" s="2599" t="s">
        <v>134</v>
      </c>
      <c r="H106" s="2600"/>
      <c r="I106" s="2600"/>
      <c r="J106" s="2600"/>
      <c r="K106" s="2601"/>
    </row>
    <row r="107" ht="12.75" customHeight="1">
      <c r="F107" s="2602" t="s">
        <v>1496</v>
      </c>
      <c r="G107" s="2603" t="s">
        <v>1497</v>
      </c>
      <c r="H107" s="2604" t="s">
        <v>1498</v>
      </c>
      <c r="I107" s="2604" t="s">
        <v>579</v>
      </c>
      <c r="J107" s="2604" t="s">
        <v>1499</v>
      </c>
      <c r="K107" s="2605" t="s">
        <v>1500</v>
      </c>
    </row>
    <row r="108" ht="17.25" customHeight="1">
      <c r="F108" s="2606" t="s">
        <v>1501</v>
      </c>
      <c r="G108" s="2607" t="s">
        <v>1502</v>
      </c>
      <c r="H108" s="2608" t="s">
        <v>1503</v>
      </c>
      <c r="I108" s="2608" t="s">
        <v>1504</v>
      </c>
      <c r="J108" s="2608" t="s">
        <v>1505</v>
      </c>
      <c r="K108" s="2609" t="s">
        <v>1506</v>
      </c>
    </row>
    <row r="109" ht="12.75" customHeight="1">
      <c r="F109" s="34"/>
    </row>
    <row r="110" ht="12.75" customHeight="1">
      <c r="F110" s="34"/>
    </row>
    <row r="111" ht="12.75" customHeight="1">
      <c r="F111" s="34"/>
    </row>
    <row r="112" ht="12.75" customHeight="1">
      <c r="F112" s="2610"/>
      <c r="G112" s="2611" t="s">
        <v>1174</v>
      </c>
      <c r="H112" s="2612" t="s">
        <v>790</v>
      </c>
      <c r="I112" s="2613" t="s">
        <v>1213</v>
      </c>
      <c r="J112" s="2614"/>
      <c r="K112" s="2614"/>
      <c r="N112" s="2615"/>
      <c r="O112" s="2615"/>
    </row>
    <row r="113" ht="12.75" customHeight="1">
      <c r="F113" s="2616" t="s">
        <v>1507</v>
      </c>
      <c r="G113" s="2617" t="s">
        <v>1508</v>
      </c>
      <c r="H113" s="2618" t="s">
        <v>1509</v>
      </c>
      <c r="I113" s="2619" t="s">
        <v>1509</v>
      </c>
      <c r="J113" s="2620"/>
      <c r="K113" s="2620"/>
    </row>
    <row r="114" ht="12.75" customHeight="1">
      <c r="F114" s="2621" t="s">
        <v>1510</v>
      </c>
      <c r="G114" s="2617" t="s">
        <v>1511</v>
      </c>
      <c r="H114" s="2618" t="s">
        <v>1512</v>
      </c>
      <c r="I114" s="2619" t="s">
        <v>1509</v>
      </c>
      <c r="J114" s="2620"/>
      <c r="K114" s="2620"/>
    </row>
    <row r="115" ht="12.75" customHeight="1">
      <c r="F115" s="2616" t="s">
        <v>1513</v>
      </c>
      <c r="G115" s="2617" t="s">
        <v>1509</v>
      </c>
      <c r="H115" s="2618" t="s">
        <v>1511</v>
      </c>
      <c r="I115" s="2619" t="s">
        <v>1512</v>
      </c>
      <c r="J115" s="2620"/>
      <c r="K115" s="2620"/>
    </row>
    <row r="116" ht="12.75" customHeight="1">
      <c r="F116" s="34"/>
    </row>
    <row r="117" ht="12.75" customHeight="1">
      <c r="F117" s="34"/>
    </row>
    <row r="118" ht="12.75" customHeight="1"/>
    <row r="119" ht="12.75" customHeight="1"/>
    <row r="120" ht="12.75" customHeight="1"/>
    <row r="121" ht="12.75" customHeight="1">
      <c r="F121" s="2622" t="s">
        <v>1514</v>
      </c>
    </row>
    <row r="122" ht="21.75" customHeight="1"/>
    <row r="123" ht="12.75" customHeight="1">
      <c r="F123" s="2623" t="s">
        <v>1515</v>
      </c>
      <c r="G123" s="2624" t="s">
        <v>1500</v>
      </c>
      <c r="H123" s="2624" t="s">
        <v>1174</v>
      </c>
    </row>
    <row r="124" ht="12.75" customHeight="1">
      <c r="F124" s="2625" t="s">
        <v>1516</v>
      </c>
      <c r="G124" s="2626" t="s">
        <v>1517</v>
      </c>
      <c r="H124" s="2627" t="s">
        <v>1518</v>
      </c>
    </row>
    <row r="125" ht="12.75" customHeight="1">
      <c r="F125" s="34"/>
      <c r="G125" s="34"/>
      <c r="H125" s="34"/>
    </row>
    <row r="126" ht="12.75" customHeight="1">
      <c r="A126" s="34" t="s">
        <v>134</v>
      </c>
      <c r="C126" s="44" t="s">
        <v>941</v>
      </c>
      <c r="D126" s="103"/>
      <c r="E126" s="34"/>
      <c r="F126" s="2624" t="s">
        <v>1519</v>
      </c>
      <c r="I126" s="2624" t="s">
        <v>1520</v>
      </c>
      <c r="J126" s="2624"/>
      <c r="K126" s="1780" t="s">
        <v>135</v>
      </c>
      <c r="N126" s="439" t="s">
        <v>1521</v>
      </c>
    </row>
    <row r="127" ht="12.75" customHeight="1">
      <c r="A127" s="2628">
        <v>1.0</v>
      </c>
      <c r="B127" s="2392">
        <v>45.0</v>
      </c>
      <c r="C127" s="2629">
        <v>0.0</v>
      </c>
      <c r="D127" s="2629">
        <v>5.0</v>
      </c>
      <c r="E127" s="2392" t="s">
        <v>1522</v>
      </c>
      <c r="F127" s="2630" t="s">
        <v>1523</v>
      </c>
      <c r="G127" s="2631" t="s">
        <v>1524</v>
      </c>
      <c r="H127" s="2631" t="s">
        <v>1525</v>
      </c>
      <c r="I127" s="2630" t="s">
        <v>1497</v>
      </c>
      <c r="J127" s="2632" t="s">
        <v>1526</v>
      </c>
      <c r="K127" s="2630" t="s">
        <v>199</v>
      </c>
      <c r="L127" s="2392">
        <v>1.0</v>
      </c>
      <c r="M127" s="2632" t="s">
        <v>1526</v>
      </c>
      <c r="N127" s="2630" t="s">
        <v>199</v>
      </c>
    </row>
    <row r="128" ht="12.75" customHeight="1">
      <c r="A128" s="2628">
        <v>46.0</v>
      </c>
      <c r="B128" s="2392">
        <v>124.0</v>
      </c>
      <c r="C128" s="2629">
        <v>6.0</v>
      </c>
      <c r="D128" s="2629">
        <v>10.0</v>
      </c>
      <c r="E128" s="2392" t="s">
        <v>1527</v>
      </c>
      <c r="F128" s="2630" t="s">
        <v>1528</v>
      </c>
      <c r="G128" s="2633" t="s">
        <v>1529</v>
      </c>
      <c r="H128" s="2631" t="s">
        <v>1530</v>
      </c>
      <c r="I128" s="2630" t="s">
        <v>1531</v>
      </c>
      <c r="J128" s="2632" t="s">
        <v>1532</v>
      </c>
      <c r="K128" s="2630" t="s">
        <v>1533</v>
      </c>
      <c r="L128" s="2392">
        <v>0.95</v>
      </c>
      <c r="M128" s="2632" t="s">
        <v>969</v>
      </c>
      <c r="N128" s="2630" t="s">
        <v>1201</v>
      </c>
    </row>
    <row r="129" ht="12.75" customHeight="1">
      <c r="A129" s="2628">
        <v>25.0</v>
      </c>
      <c r="B129" s="2392">
        <v>299.0</v>
      </c>
      <c r="C129" s="2629">
        <v>11.0</v>
      </c>
      <c r="D129" s="2629">
        <v>20.0</v>
      </c>
      <c r="E129" s="2392" t="s">
        <v>1534</v>
      </c>
      <c r="F129" s="2634" t="s">
        <v>1535</v>
      </c>
      <c r="G129" s="2633" t="s">
        <v>1536</v>
      </c>
      <c r="H129" s="2631" t="s">
        <v>1537</v>
      </c>
      <c r="I129" s="2630" t="s">
        <v>579</v>
      </c>
      <c r="J129" s="2632" t="s">
        <v>1518</v>
      </c>
      <c r="K129" s="2630" t="s">
        <v>1174</v>
      </c>
      <c r="L129" s="2392">
        <v>0.91</v>
      </c>
      <c r="M129" s="2632" t="s">
        <v>1518</v>
      </c>
      <c r="N129" s="2630" t="s">
        <v>1174</v>
      </c>
    </row>
    <row r="130" ht="12.75" customHeight="1">
      <c r="A130" s="2628">
        <v>300.0</v>
      </c>
      <c r="B130" s="2392">
        <v>475.0</v>
      </c>
      <c r="C130" s="2629">
        <v>21.0</v>
      </c>
      <c r="D130" s="2629">
        <v>30.0</v>
      </c>
      <c r="E130" s="2392" t="s">
        <v>1516</v>
      </c>
      <c r="F130" s="2634" t="s">
        <v>1538</v>
      </c>
      <c r="G130" s="2631" t="s">
        <v>1539</v>
      </c>
      <c r="H130" s="2631" t="s">
        <v>1540</v>
      </c>
      <c r="I130" s="2630" t="s">
        <v>1499</v>
      </c>
      <c r="J130" s="2632" t="s">
        <v>1016</v>
      </c>
      <c r="K130" s="2630" t="s">
        <v>790</v>
      </c>
      <c r="L130" s="2392">
        <v>0.85</v>
      </c>
      <c r="M130" s="2632" t="s">
        <v>1016</v>
      </c>
      <c r="N130" s="2630" t="s">
        <v>790</v>
      </c>
    </row>
    <row r="131" ht="12.75" customHeight="1">
      <c r="A131" s="2628">
        <v>476.0</v>
      </c>
      <c r="B131" s="2392">
        <v>1000.0</v>
      </c>
      <c r="C131" s="2629">
        <v>31.0</v>
      </c>
      <c r="D131" s="2629">
        <v>40.0</v>
      </c>
      <c r="E131" s="2392" t="s">
        <v>1541</v>
      </c>
      <c r="F131" s="2630" t="s">
        <v>1542</v>
      </c>
      <c r="G131" s="2631" t="s">
        <v>1543</v>
      </c>
      <c r="H131" s="2631" t="s">
        <v>1517</v>
      </c>
      <c r="I131" s="2630" t="s">
        <v>1500</v>
      </c>
      <c r="J131" s="2632" t="s">
        <v>1537</v>
      </c>
      <c r="K131" s="2630" t="s">
        <v>1213</v>
      </c>
      <c r="L131" s="2392">
        <v>0.6</v>
      </c>
      <c r="M131" s="2632" t="s">
        <v>1537</v>
      </c>
      <c r="N131" s="2630" t="s">
        <v>1213</v>
      </c>
    </row>
    <row r="132" ht="12.75" customHeight="1">
      <c r="A132" s="2392"/>
      <c r="B132" s="2392"/>
      <c r="C132" s="2629">
        <v>41.0</v>
      </c>
      <c r="D132" s="2629">
        <v>100.0</v>
      </c>
      <c r="E132" s="2392" t="s">
        <v>1544</v>
      </c>
      <c r="F132" s="2630" t="s">
        <v>1545</v>
      </c>
      <c r="G132" s="2631" t="s">
        <v>1546</v>
      </c>
      <c r="H132" s="2392"/>
      <c r="I132" s="2392"/>
      <c r="J132" s="2632" t="s">
        <v>1547</v>
      </c>
      <c r="K132" s="2392" t="s">
        <v>789</v>
      </c>
      <c r="L132" s="2392">
        <v>0.97</v>
      </c>
      <c r="N132" s="2392"/>
    </row>
    <row r="133" ht="12.75" customHeight="1">
      <c r="E133" s="2635" t="s">
        <v>129</v>
      </c>
      <c r="F133" s="2636"/>
      <c r="G133" s="2636" t="s">
        <v>134</v>
      </c>
      <c r="H133" s="2636"/>
      <c r="I133" s="2637" t="s">
        <v>135</v>
      </c>
      <c r="J133" s="2635"/>
      <c r="K133" s="2638"/>
      <c r="L133" s="2636" t="s">
        <v>182</v>
      </c>
      <c r="M133" s="2635"/>
    </row>
    <row r="134" ht="12.75" customHeight="1">
      <c r="A134" s="34"/>
      <c r="B134" s="34"/>
      <c r="C134" s="34"/>
      <c r="D134" s="34"/>
      <c r="E134" s="2639" t="s">
        <v>1523</v>
      </c>
      <c r="F134" s="2640" t="s">
        <v>1522</v>
      </c>
      <c r="G134" s="2641" t="s">
        <v>1497</v>
      </c>
      <c r="H134" s="2640" t="s">
        <v>1525</v>
      </c>
      <c r="I134" s="2641" t="s">
        <v>199</v>
      </c>
      <c r="J134" s="2642" t="s">
        <v>1518</v>
      </c>
      <c r="K134" s="2643">
        <v>1.0</v>
      </c>
      <c r="L134" s="2641" t="s">
        <v>1533</v>
      </c>
      <c r="M134" s="2642" t="s">
        <v>1532</v>
      </c>
      <c r="N134" s="34"/>
      <c r="O134" s="34"/>
      <c r="P134" s="2392" t="s">
        <v>199</v>
      </c>
      <c r="Q134" s="34" t="s">
        <v>1526</v>
      </c>
      <c r="R134" s="34"/>
      <c r="S134" s="2644"/>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45" t="s">
        <v>1528</v>
      </c>
      <c r="F135" s="2646" t="s">
        <v>1527</v>
      </c>
      <c r="G135" s="2647" t="s">
        <v>1498</v>
      </c>
      <c r="H135" s="2646" t="s">
        <v>1530</v>
      </c>
      <c r="I135" s="2648" t="s">
        <v>1533</v>
      </c>
      <c r="J135" s="2649" t="s">
        <v>1532</v>
      </c>
      <c r="K135" s="2650">
        <v>0.95</v>
      </c>
      <c r="L135" s="2648" t="s">
        <v>1201</v>
      </c>
      <c r="M135" s="2649" t="s">
        <v>969</v>
      </c>
      <c r="N135" s="34"/>
      <c r="O135" s="34"/>
      <c r="P135" s="2392" t="s">
        <v>1166</v>
      </c>
      <c r="Q135" s="34" t="s">
        <v>1548</v>
      </c>
      <c r="R135" s="34"/>
      <c r="S135" s="2644"/>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51" t="s">
        <v>1535</v>
      </c>
      <c r="F136" s="2646" t="s">
        <v>1534</v>
      </c>
      <c r="G136" s="6" t="s">
        <v>1549</v>
      </c>
      <c r="H136" s="2646" t="s">
        <v>1537</v>
      </c>
      <c r="I136" s="2648" t="s">
        <v>1174</v>
      </c>
      <c r="J136" s="2649" t="s">
        <v>1518</v>
      </c>
      <c r="K136" s="2650">
        <v>0.91</v>
      </c>
      <c r="L136" s="2648" t="s">
        <v>1174</v>
      </c>
      <c r="M136" s="2649" t="s">
        <v>1518</v>
      </c>
      <c r="N136" s="34"/>
      <c r="O136" s="34"/>
      <c r="P136" s="2392" t="s">
        <v>1174</v>
      </c>
      <c r="Q136" s="34" t="s">
        <v>1518</v>
      </c>
      <c r="R136" s="34"/>
      <c r="S136" s="2644"/>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51" t="s">
        <v>1538</v>
      </c>
      <c r="F137" s="2646" t="s">
        <v>1516</v>
      </c>
      <c r="G137" s="2648" t="s">
        <v>579</v>
      </c>
      <c r="H137" s="2646" t="s">
        <v>1540</v>
      </c>
      <c r="I137" s="2648" t="s">
        <v>790</v>
      </c>
      <c r="J137" s="2649" t="s">
        <v>1016</v>
      </c>
      <c r="K137" s="2650">
        <v>0.85</v>
      </c>
      <c r="L137" s="2648" t="s">
        <v>790</v>
      </c>
      <c r="M137" s="2649" t="s">
        <v>1016</v>
      </c>
      <c r="N137" s="34"/>
      <c r="O137" s="34"/>
      <c r="P137" s="2392" t="s">
        <v>1186</v>
      </c>
      <c r="Q137" s="34"/>
      <c r="R137" s="34"/>
      <c r="S137" s="2644"/>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45" t="s">
        <v>1542</v>
      </c>
      <c r="F138" s="2646" t="s">
        <v>1541</v>
      </c>
      <c r="G138" s="2648" t="s">
        <v>1499</v>
      </c>
      <c r="H138" s="2646" t="s">
        <v>1517</v>
      </c>
      <c r="I138" s="2648" t="s">
        <v>1550</v>
      </c>
      <c r="J138" s="2649" t="s">
        <v>1547</v>
      </c>
      <c r="K138" s="2650">
        <v>0.95</v>
      </c>
      <c r="L138" s="2648" t="s">
        <v>1213</v>
      </c>
      <c r="M138" s="2649" t="s">
        <v>1537</v>
      </c>
      <c r="N138" s="34"/>
      <c r="O138" s="34"/>
      <c r="P138" s="2392" t="s">
        <v>1193</v>
      </c>
      <c r="Q138" s="34"/>
      <c r="R138" s="34"/>
      <c r="S138" s="2644"/>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52" t="s">
        <v>1545</v>
      </c>
      <c r="F139" s="2653" t="s">
        <v>1544</v>
      </c>
      <c r="G139" s="2648" t="s">
        <v>1500</v>
      </c>
      <c r="H139" s="2654"/>
      <c r="I139" s="2655" t="s">
        <v>789</v>
      </c>
      <c r="J139" s="2656" t="s">
        <v>1551</v>
      </c>
      <c r="K139" s="2650">
        <v>0.97</v>
      </c>
      <c r="L139" s="2657" t="s">
        <v>1218</v>
      </c>
      <c r="M139" s="2658" t="s">
        <v>1552</v>
      </c>
      <c r="N139" s="34"/>
      <c r="O139" s="34"/>
      <c r="P139" s="2392" t="s">
        <v>1201</v>
      </c>
      <c r="Q139" s="34"/>
      <c r="R139" s="34"/>
      <c r="S139" s="2644"/>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59"/>
      <c r="G140" s="2659"/>
      <c r="H140" s="2659"/>
      <c r="I140" s="2648" t="s">
        <v>1553</v>
      </c>
      <c r="J140" s="2649" t="s">
        <v>1554</v>
      </c>
      <c r="K140" s="2650">
        <v>0.98</v>
      </c>
      <c r="L140" s="2657" t="s">
        <v>1223</v>
      </c>
      <c r="M140" s="2649" t="s">
        <v>1555</v>
      </c>
      <c r="N140" s="34"/>
      <c r="O140" s="34"/>
      <c r="P140" s="2392" t="s">
        <v>790</v>
      </c>
      <c r="Q140" s="34"/>
      <c r="R140" s="34"/>
      <c r="S140" s="2644"/>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59"/>
      <c r="G141" s="2659"/>
      <c r="H141" s="2659"/>
      <c r="I141" s="2648" t="s">
        <v>1556</v>
      </c>
      <c r="J141" s="2649" t="s">
        <v>1537</v>
      </c>
      <c r="K141" s="2650">
        <v>0.6</v>
      </c>
      <c r="L141" s="2660" t="s">
        <v>1229</v>
      </c>
      <c r="M141" s="2649" t="s">
        <v>1518</v>
      </c>
      <c r="N141" s="34"/>
      <c r="O141" s="34"/>
      <c r="P141" s="2392" t="s">
        <v>1213</v>
      </c>
      <c r="Q141" s="34"/>
      <c r="R141" s="34"/>
      <c r="S141" s="2644"/>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941</v>
      </c>
      <c r="B142" s="103"/>
      <c r="C142" s="103"/>
      <c r="D142" s="34"/>
      <c r="E142" s="34"/>
      <c r="F142" s="2659"/>
      <c r="G142" s="2659"/>
      <c r="H142" s="2659"/>
      <c r="I142" s="2661" t="s">
        <v>1557</v>
      </c>
      <c r="J142" s="2656" t="s">
        <v>1558</v>
      </c>
      <c r="K142" s="2662">
        <v>0.4</v>
      </c>
      <c r="L142" s="2657" t="s">
        <v>1236</v>
      </c>
      <c r="M142" s="2649" t="s">
        <v>1518</v>
      </c>
      <c r="N142" s="34"/>
      <c r="O142" s="34"/>
      <c r="P142" s="2392" t="s">
        <v>1218</v>
      </c>
      <c r="Q142" s="34"/>
      <c r="R142" s="34"/>
      <c r="S142" s="2644"/>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585">
        <v>0.0</v>
      </c>
      <c r="B143" s="2585">
        <v>1.0</v>
      </c>
      <c r="C143" s="2585">
        <v>100.0</v>
      </c>
      <c r="D143" s="34"/>
      <c r="E143" s="34"/>
      <c r="F143" s="2659"/>
      <c r="G143" s="2659"/>
      <c r="H143" s="2659"/>
      <c r="I143" s="2663" t="s">
        <v>1559</v>
      </c>
      <c r="J143" s="2663" t="s">
        <v>1560</v>
      </c>
      <c r="K143" s="34"/>
      <c r="L143" s="2664" t="s">
        <v>1242</v>
      </c>
      <c r="M143" s="2656" t="s">
        <v>1558</v>
      </c>
      <c r="N143" s="34"/>
      <c r="O143" s="34"/>
      <c r="P143" s="2392" t="s">
        <v>1223</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59"/>
      <c r="G144" s="2659"/>
      <c r="H144" s="2659"/>
      <c r="I144" s="34"/>
      <c r="J144" s="34"/>
      <c r="K144" s="34"/>
      <c r="L144" s="34"/>
      <c r="M144" s="34"/>
      <c r="N144" s="34"/>
      <c r="O144" s="34"/>
      <c r="P144" s="2593" t="s">
        <v>1229</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59"/>
      <c r="G145" s="2659"/>
      <c r="H145" s="2659"/>
      <c r="I145" s="34"/>
      <c r="J145" s="34"/>
      <c r="K145" s="34"/>
      <c r="L145" s="34"/>
      <c r="M145" s="34"/>
      <c r="N145" s="34"/>
      <c r="O145" s="34"/>
      <c r="P145" s="2392" t="s">
        <v>1236</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585">
        <v>6.0</v>
      </c>
      <c r="B146" s="2585">
        <v>7.0</v>
      </c>
      <c r="C146" s="2585">
        <v>97.0</v>
      </c>
      <c r="D146" s="34"/>
      <c r="E146" s="34"/>
      <c r="F146" s="2659"/>
      <c r="G146" s="2659"/>
      <c r="H146" s="2659"/>
      <c r="I146" s="34"/>
      <c r="J146" s="34"/>
      <c r="K146" s="34"/>
      <c r="L146" s="34"/>
      <c r="M146" s="34"/>
      <c r="N146" s="34"/>
      <c r="O146" s="34"/>
      <c r="P146" s="2392" t="s">
        <v>1242</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59"/>
      <c r="G147" s="2659"/>
      <c r="H147" s="2659"/>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65" t="s">
        <v>1561</v>
      </c>
    </row>
    <row r="149" ht="23.25" customHeight="1">
      <c r="A149" s="2585">
        <v>12.0</v>
      </c>
      <c r="B149" s="2585">
        <v>13.0</v>
      </c>
      <c r="C149" s="2585">
        <v>94.0</v>
      </c>
    </row>
    <row r="150" ht="12.75" customHeight="1">
      <c r="A150" s="10">
        <v>14.0</v>
      </c>
      <c r="B150" s="10">
        <v>15.0</v>
      </c>
      <c r="C150" s="10">
        <v>93.0</v>
      </c>
      <c r="F150" s="2659"/>
      <c r="G150" s="2659"/>
      <c r="H150" s="2659"/>
    </row>
    <row r="151" ht="12.75" customHeight="1">
      <c r="A151" s="10">
        <v>16.0</v>
      </c>
      <c r="B151" s="10">
        <v>17.0</v>
      </c>
      <c r="C151" s="10">
        <v>92.0</v>
      </c>
      <c r="F151" s="2624" t="s">
        <v>1562</v>
      </c>
      <c r="G151" s="2624" t="s">
        <v>1563</v>
      </c>
      <c r="H151" s="2624" t="s">
        <v>1498</v>
      </c>
      <c r="I151" s="2624" t="s">
        <v>790</v>
      </c>
      <c r="J151" s="2624"/>
      <c r="K151" s="2624"/>
    </row>
    <row r="152" ht="18.0" customHeight="1">
      <c r="A152" s="2585">
        <v>18.0</v>
      </c>
      <c r="B152" s="2585">
        <v>19.0</v>
      </c>
      <c r="C152" s="2585">
        <v>91.0</v>
      </c>
      <c r="F152" s="2625" t="s">
        <v>1564</v>
      </c>
      <c r="G152" s="2626" t="s">
        <v>1522</v>
      </c>
      <c r="H152" s="2626" t="s">
        <v>1530</v>
      </c>
      <c r="I152" s="2627" t="s">
        <v>1016</v>
      </c>
      <c r="J152" s="2666"/>
      <c r="K152" s="2666"/>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67" t="s">
        <v>1519</v>
      </c>
      <c r="H154" s="2667" t="s">
        <v>1565</v>
      </c>
      <c r="I154" s="2667" t="s">
        <v>1566</v>
      </c>
      <c r="J154" s="2667"/>
      <c r="K154" s="2667"/>
    </row>
    <row r="155" ht="12.75" customHeight="1">
      <c r="A155" s="2585">
        <v>24.0</v>
      </c>
      <c r="B155" s="2585">
        <v>25.0</v>
      </c>
      <c r="C155" s="2585">
        <v>88.0</v>
      </c>
      <c r="F155" s="34"/>
      <c r="G155" s="2659" t="s">
        <v>1567</v>
      </c>
      <c r="H155" s="2659" t="s">
        <v>1568</v>
      </c>
      <c r="I155" s="2659" t="s">
        <v>1569</v>
      </c>
      <c r="J155" s="2659"/>
      <c r="K155" s="2659"/>
    </row>
    <row r="156" ht="12.75" customHeight="1">
      <c r="A156" s="34">
        <v>26.0</v>
      </c>
      <c r="B156" s="34">
        <v>27.0</v>
      </c>
      <c r="C156" s="34">
        <v>87.0</v>
      </c>
      <c r="F156" s="34"/>
      <c r="G156" s="2659" t="s">
        <v>1570</v>
      </c>
      <c r="H156" s="2659" t="s">
        <v>1571</v>
      </c>
      <c r="I156" s="2659" t="s">
        <v>1572</v>
      </c>
      <c r="J156" s="2659"/>
      <c r="K156" s="2659"/>
    </row>
    <row r="157" ht="12.75" customHeight="1">
      <c r="A157" s="34">
        <v>28.0</v>
      </c>
      <c r="B157" s="34">
        <v>29.0</v>
      </c>
      <c r="C157" s="34">
        <v>86.0</v>
      </c>
      <c r="F157" s="34"/>
      <c r="G157" s="2668" t="s">
        <v>1573</v>
      </c>
      <c r="H157" s="2659" t="s">
        <v>1574</v>
      </c>
      <c r="I157" s="2659" t="s">
        <v>1575</v>
      </c>
      <c r="J157" s="2659"/>
      <c r="K157" s="2659"/>
    </row>
    <row r="158" ht="12.75" customHeight="1">
      <c r="A158" s="2585">
        <v>30.0</v>
      </c>
      <c r="B158" s="2585">
        <v>31.0</v>
      </c>
      <c r="C158" s="2585">
        <v>85.0</v>
      </c>
      <c r="F158" s="34"/>
      <c r="G158" s="2668" t="s">
        <v>1576</v>
      </c>
      <c r="H158" s="2659" t="s">
        <v>1577</v>
      </c>
      <c r="I158" s="2659"/>
      <c r="J158" s="2659"/>
      <c r="K158" s="2659"/>
    </row>
    <row r="159" ht="12.75" customHeight="1">
      <c r="A159" s="34">
        <v>32.0</v>
      </c>
      <c r="B159" s="34">
        <v>33.0</v>
      </c>
      <c r="C159" s="34">
        <v>84.0</v>
      </c>
      <c r="F159" s="34"/>
      <c r="G159" s="2659" t="s">
        <v>1578</v>
      </c>
      <c r="H159" s="2659"/>
      <c r="I159" s="2659"/>
      <c r="J159" s="2659"/>
      <c r="K159" s="2659"/>
    </row>
    <row r="160" ht="12.75" customHeight="1">
      <c r="A160" s="34">
        <v>34.0</v>
      </c>
      <c r="B160" s="34">
        <v>35.0</v>
      </c>
      <c r="C160" s="34">
        <v>83.0</v>
      </c>
      <c r="F160" s="34"/>
      <c r="G160" s="2659" t="s">
        <v>1579</v>
      </c>
      <c r="H160" s="2659"/>
      <c r="I160" s="2659"/>
      <c r="J160" s="2659"/>
      <c r="K160" s="2659"/>
    </row>
    <row r="161" ht="12.75" customHeight="1">
      <c r="A161" s="2585">
        <v>36.0</v>
      </c>
      <c r="B161" s="2585">
        <v>37.0</v>
      </c>
      <c r="C161" s="2585">
        <v>82.0</v>
      </c>
    </row>
    <row r="162" ht="12.75" customHeight="1">
      <c r="A162" s="34">
        <v>38.0</v>
      </c>
      <c r="B162" s="34">
        <v>39.0</v>
      </c>
      <c r="C162" s="34">
        <v>81.0</v>
      </c>
    </row>
    <row r="163" ht="12.75" customHeight="1">
      <c r="A163" s="34">
        <v>40.0</v>
      </c>
      <c r="B163" s="34">
        <v>41.0</v>
      </c>
      <c r="C163" s="34">
        <v>80.0</v>
      </c>
      <c r="F163" s="2669" t="s">
        <v>1580</v>
      </c>
    </row>
    <row r="164" ht="16.5" customHeight="1">
      <c r="A164" s="2585">
        <v>42.0</v>
      </c>
      <c r="B164" s="2585">
        <v>43.0</v>
      </c>
      <c r="C164" s="2585">
        <v>79.0</v>
      </c>
    </row>
    <row r="165" ht="12.75" customHeight="1">
      <c r="A165" s="34">
        <v>44.0</v>
      </c>
      <c r="B165" s="34">
        <v>45.0</v>
      </c>
      <c r="C165" s="34">
        <v>78.0</v>
      </c>
    </row>
    <row r="166" ht="12.75" customHeight="1">
      <c r="A166" s="2585">
        <v>46.0</v>
      </c>
      <c r="B166" s="2585">
        <v>47.0</v>
      </c>
      <c r="C166" s="2585">
        <v>77.0</v>
      </c>
      <c r="F166" s="2624" t="s">
        <v>1581</v>
      </c>
      <c r="G166" s="2624" t="s">
        <v>579</v>
      </c>
      <c r="H166" s="2624" t="s">
        <v>1213</v>
      </c>
    </row>
    <row r="167" ht="12.75" customHeight="1">
      <c r="A167" s="34">
        <v>48.0</v>
      </c>
      <c r="B167" s="34">
        <v>49.0</v>
      </c>
      <c r="C167" s="34">
        <v>76.0</v>
      </c>
      <c r="F167" s="2625" t="s">
        <v>964</v>
      </c>
      <c r="G167" s="2626" t="s">
        <v>1537</v>
      </c>
      <c r="H167" s="2627" t="s">
        <v>1537</v>
      </c>
    </row>
    <row r="168" ht="12.75" customHeight="1">
      <c r="A168" s="34">
        <v>50.0</v>
      </c>
      <c r="B168" s="34">
        <v>51.0</v>
      </c>
      <c r="C168" s="34">
        <v>75.0</v>
      </c>
      <c r="F168" s="34"/>
      <c r="G168" s="34"/>
      <c r="H168" s="34"/>
    </row>
    <row r="169" ht="12.75" customHeight="1">
      <c r="A169" s="2585">
        <v>52.0</v>
      </c>
      <c r="B169" s="2585">
        <v>53.0</v>
      </c>
      <c r="C169" s="2585">
        <v>74.0</v>
      </c>
      <c r="F169" s="2659" t="s">
        <v>243</v>
      </c>
      <c r="G169" s="2667" t="s">
        <v>1582</v>
      </c>
      <c r="H169" s="2670" t="s">
        <v>1566</v>
      </c>
    </row>
    <row r="170" ht="12.75" customHeight="1">
      <c r="A170" s="34">
        <v>54.0</v>
      </c>
      <c r="B170" s="34">
        <v>55.0</v>
      </c>
      <c r="C170" s="34">
        <v>73.0</v>
      </c>
      <c r="F170" s="2659" t="s">
        <v>1583</v>
      </c>
      <c r="G170" s="2659" t="s">
        <v>1571</v>
      </c>
      <c r="H170" s="2659" t="s">
        <v>1569</v>
      </c>
    </row>
    <row r="171" ht="12.75" customHeight="1">
      <c r="A171" s="34">
        <v>56.0</v>
      </c>
      <c r="B171" s="34">
        <v>57.0</v>
      </c>
      <c r="C171" s="34">
        <v>72.0</v>
      </c>
      <c r="F171" s="2659" t="s">
        <v>1584</v>
      </c>
      <c r="G171" s="2659" t="s">
        <v>1574</v>
      </c>
      <c r="H171" s="2659" t="s">
        <v>1572</v>
      </c>
    </row>
    <row r="172" ht="12.75" customHeight="1">
      <c r="A172" s="2585">
        <v>58.0</v>
      </c>
      <c r="B172" s="2585">
        <v>59.0</v>
      </c>
      <c r="C172" s="2585">
        <v>71.0</v>
      </c>
      <c r="F172" s="2659" t="s">
        <v>1585</v>
      </c>
      <c r="G172" s="2659" t="s">
        <v>1577</v>
      </c>
      <c r="H172" s="2659" t="s">
        <v>1575</v>
      </c>
    </row>
    <row r="173" ht="12.75" customHeight="1">
      <c r="A173" s="34">
        <v>60.0</v>
      </c>
      <c r="B173" s="34">
        <v>61.0</v>
      </c>
      <c r="C173" s="34">
        <v>70.0</v>
      </c>
      <c r="F173" s="2659" t="s">
        <v>1586</v>
      </c>
      <c r="G173" s="34"/>
      <c r="H173" s="2659"/>
    </row>
    <row r="174" ht="12.75" customHeight="1">
      <c r="A174" s="34">
        <v>62.0</v>
      </c>
      <c r="B174" s="34">
        <v>63.0</v>
      </c>
      <c r="C174" s="34">
        <v>69.0</v>
      </c>
      <c r="F174" s="2659" t="s">
        <v>1587</v>
      </c>
      <c r="G174" s="34"/>
      <c r="H174" s="2659"/>
    </row>
    <row r="175" ht="12.75" customHeight="1">
      <c r="A175" s="2585">
        <v>64.0</v>
      </c>
      <c r="B175" s="2585">
        <v>65.0</v>
      </c>
      <c r="C175" s="2585">
        <v>68.0</v>
      </c>
    </row>
    <row r="176" ht="12.75" customHeight="1">
      <c r="A176" s="34">
        <v>66.0</v>
      </c>
      <c r="B176" s="34">
        <v>67.0</v>
      </c>
      <c r="C176" s="34">
        <v>67.0</v>
      </c>
    </row>
    <row r="177" ht="12.75" customHeight="1">
      <c r="A177" s="34">
        <v>68.0</v>
      </c>
      <c r="B177" s="34">
        <v>69.0</v>
      </c>
      <c r="C177" s="34">
        <v>66.0</v>
      </c>
    </row>
    <row r="178" ht="12.75" customHeight="1">
      <c r="A178" s="2585">
        <v>70.0</v>
      </c>
      <c r="B178" s="2585">
        <v>71.0</v>
      </c>
      <c r="C178" s="2585">
        <v>65.0</v>
      </c>
    </row>
    <row r="179" ht="12.75" customHeight="1">
      <c r="A179" s="34">
        <v>72.0</v>
      </c>
      <c r="B179" s="34">
        <v>73.0</v>
      </c>
      <c r="C179" s="34">
        <v>64.0</v>
      </c>
    </row>
    <row r="180" ht="12.75" customHeight="1">
      <c r="A180" s="34">
        <v>74.0</v>
      </c>
      <c r="B180" s="34">
        <v>75.0</v>
      </c>
      <c r="C180" s="34">
        <v>63.0</v>
      </c>
    </row>
    <row r="181" ht="12.75" customHeight="1">
      <c r="A181" s="2585">
        <v>76.0</v>
      </c>
      <c r="B181" s="2585">
        <v>77.0</v>
      </c>
      <c r="C181" s="2585">
        <v>62.0</v>
      </c>
    </row>
    <row r="182" ht="12.75" customHeight="1">
      <c r="A182" s="34">
        <v>78.0</v>
      </c>
      <c r="B182" s="34">
        <v>79.0</v>
      </c>
      <c r="C182" s="34">
        <v>61.0</v>
      </c>
    </row>
    <row r="183" ht="12.75" customHeight="1">
      <c r="A183" s="34">
        <v>80.0</v>
      </c>
      <c r="B183" s="34">
        <v>81.0</v>
      </c>
      <c r="C183" s="34">
        <v>60.0</v>
      </c>
    </row>
    <row r="184" ht="12.75" customHeight="1">
      <c r="A184" s="2585">
        <v>82.0</v>
      </c>
      <c r="B184" s="2585">
        <v>83.0</v>
      </c>
      <c r="C184" s="2585">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85">
        <v>16.0</v>
      </c>
      <c r="B195" s="2585">
        <v>20.0</v>
      </c>
      <c r="C195" s="2585">
        <v>85.0</v>
      </c>
    </row>
    <row r="196" ht="12.75" customHeight="1">
      <c r="A196" s="2585">
        <v>21.0</v>
      </c>
      <c r="B196" s="2585">
        <v>30.0</v>
      </c>
      <c r="C196" s="2585">
        <v>80.0</v>
      </c>
    </row>
    <row r="197" ht="12.75" customHeight="1">
      <c r="A197" s="2585">
        <v>31.0</v>
      </c>
      <c r="B197" s="2585">
        <v>60.0</v>
      </c>
      <c r="C197" s="2585">
        <v>75.0</v>
      </c>
    </row>
    <row r="198" ht="12.75" customHeight="1">
      <c r="A198" s="34" t="s">
        <v>971</v>
      </c>
      <c r="B198" s="34"/>
      <c r="C198" s="103"/>
    </row>
    <row r="199" ht="12.75" customHeight="1">
      <c r="A199" s="2585">
        <v>0.0</v>
      </c>
      <c r="B199" s="2585">
        <v>5.0</v>
      </c>
      <c r="C199" s="2585">
        <v>100.0</v>
      </c>
    </row>
    <row r="200" ht="12.75" customHeight="1">
      <c r="A200" s="2585">
        <v>6.0</v>
      </c>
      <c r="B200" s="2585">
        <v>10.0</v>
      </c>
      <c r="C200" s="2585">
        <v>95.0</v>
      </c>
    </row>
    <row r="201" ht="12.75" customHeight="1">
      <c r="A201" s="2585">
        <v>11.0</v>
      </c>
      <c r="B201" s="2585">
        <v>15.0</v>
      </c>
      <c r="C201" s="2585">
        <v>90.0</v>
      </c>
    </row>
    <row r="202" ht="12.75" customHeight="1">
      <c r="A202" s="2585">
        <v>16.0</v>
      </c>
      <c r="B202" s="2585">
        <v>20.0</v>
      </c>
      <c r="C202" s="2585">
        <v>85.0</v>
      </c>
    </row>
    <row r="203" ht="12.75" customHeight="1">
      <c r="A203" s="2585">
        <v>21.0</v>
      </c>
      <c r="B203" s="2585">
        <v>30.0</v>
      </c>
      <c r="C203" s="2585">
        <v>80.0</v>
      </c>
    </row>
    <row r="204" ht="12.75" customHeight="1">
      <c r="A204" s="2585">
        <v>31.0</v>
      </c>
      <c r="B204" s="2585">
        <v>60.0</v>
      </c>
      <c r="C204" s="2585">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71" t="s">
        <v>97</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72"/>
      <c r="J3" s="2672"/>
      <c r="K3" s="2672"/>
      <c r="L3" s="2672"/>
      <c r="M3" s="2672"/>
      <c r="N3" s="2672"/>
      <c r="O3" s="2672" t="str">
        <f>'OPI Constr'!E6</f>
        <v>OPI-25-11-07-OF</v>
      </c>
      <c r="P3" s="34"/>
      <c r="Q3" s="34"/>
      <c r="R3" s="34"/>
      <c r="S3" s="34"/>
      <c r="T3" s="34"/>
      <c r="U3" s="34"/>
      <c r="V3" s="34"/>
      <c r="W3" s="34"/>
      <c r="X3" s="34"/>
      <c r="Y3" s="34"/>
      <c r="Z3" s="34"/>
    </row>
    <row r="4" ht="14.25" customHeight="1">
      <c r="A4" s="34"/>
      <c r="B4" s="34"/>
      <c r="C4" s="34"/>
      <c r="D4" s="34"/>
      <c r="E4" s="34"/>
      <c r="F4" s="34"/>
      <c r="G4" s="34"/>
      <c r="H4" s="2672"/>
      <c r="I4" s="2672"/>
      <c r="J4" s="2672"/>
      <c r="K4" s="2672"/>
      <c r="L4" s="2672"/>
      <c r="M4" s="2672"/>
      <c r="N4" s="2672"/>
      <c r="O4" s="2672"/>
      <c r="P4" s="34"/>
      <c r="Q4" s="34"/>
      <c r="R4" s="34"/>
      <c r="S4" s="34"/>
      <c r="T4" s="34"/>
      <c r="U4" s="34"/>
      <c r="V4" s="34"/>
      <c r="W4" s="34"/>
      <c r="X4" s="34"/>
      <c r="Y4" s="34"/>
      <c r="Z4" s="34"/>
    </row>
    <row r="5" ht="12.75" customHeight="1">
      <c r="A5" s="2673" t="s">
        <v>593</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74" t="s">
        <v>1588</v>
      </c>
      <c r="B7" s="2675"/>
      <c r="C7" s="2676"/>
      <c r="D7" s="2677"/>
      <c r="E7" s="2677"/>
      <c r="F7" s="2677"/>
      <c r="G7" s="2677"/>
      <c r="H7" s="2677"/>
      <c r="I7" s="2677"/>
      <c r="J7" s="2677"/>
      <c r="K7" s="2677"/>
      <c r="L7" s="2677"/>
      <c r="M7" s="2677"/>
      <c r="N7" s="2677"/>
      <c r="O7" s="2677"/>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1589</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78" t="s">
        <v>1590</v>
      </c>
      <c r="F10" s="2679"/>
      <c r="G10" s="2680" t="s">
        <v>1591</v>
      </c>
      <c r="H10" s="253"/>
      <c r="I10" s="2681" t="s">
        <v>1592</v>
      </c>
      <c r="J10" s="253"/>
      <c r="K10" s="2681" t="s">
        <v>1593</v>
      </c>
      <c r="L10" s="255"/>
      <c r="M10" s="253"/>
      <c r="N10" s="2682" t="s">
        <v>1594</v>
      </c>
      <c r="O10" s="253"/>
      <c r="P10" s="34"/>
      <c r="Q10" s="34"/>
      <c r="R10" s="34"/>
      <c r="S10" s="34"/>
      <c r="T10" s="34"/>
      <c r="U10" s="34"/>
      <c r="V10" s="34"/>
      <c r="W10" s="34"/>
      <c r="X10" s="34"/>
      <c r="Y10" s="34"/>
      <c r="Z10" s="34"/>
    </row>
    <row r="11" ht="18.75" customHeight="1">
      <c r="A11" s="439"/>
      <c r="B11" s="34"/>
      <c r="C11" s="34"/>
      <c r="D11" s="34"/>
      <c r="E11" s="260"/>
      <c r="F11" s="2683"/>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684">
        <f>'OPI Constr'!C108</f>
        <v>91.97</v>
      </c>
      <c r="F12" s="85"/>
      <c r="G12" s="2684">
        <f>'OPI Constr'!G108</f>
        <v>10500</v>
      </c>
      <c r="H12" s="85"/>
      <c r="I12" s="2685">
        <f>+'OPI Constr'!Z108</f>
        <v>1</v>
      </c>
      <c r="J12" s="86"/>
      <c r="K12" s="2686">
        <f>+'OPI Constr'!AC108</f>
        <v>10500</v>
      </c>
      <c r="L12" s="85"/>
      <c r="M12" s="86"/>
      <c r="N12" s="2686">
        <f t="shared" ref="N12:N14" si="1">+G12*E12*I12</f>
        <v>965685</v>
      </c>
      <c r="O12" s="86"/>
      <c r="P12" s="34"/>
      <c r="Q12" s="34"/>
      <c r="R12" s="34"/>
      <c r="S12" s="34"/>
      <c r="T12" s="34"/>
      <c r="U12" s="34"/>
      <c r="V12" s="34"/>
      <c r="W12" s="34"/>
      <c r="X12" s="34"/>
      <c r="Y12" s="34"/>
      <c r="Z12" s="34"/>
    </row>
    <row r="13" ht="12.0" customHeight="1">
      <c r="A13" s="439"/>
      <c r="B13" s="34"/>
      <c r="C13" s="34"/>
      <c r="D13" s="34"/>
      <c r="E13" s="2684" t="str">
        <f>+'OPI Constr'!C109</f>
        <v/>
      </c>
      <c r="F13" s="85"/>
      <c r="G13" s="2684" t="str">
        <f>+'OPI Constr'!E109</f>
        <v/>
      </c>
      <c r="H13" s="85"/>
      <c r="I13" s="2685" t="str">
        <f>+'OPI Constr'!Z109</f>
        <v/>
      </c>
      <c r="J13" s="86"/>
      <c r="K13" s="2686">
        <f>+'OPI Constr'!AC109</f>
        <v>0</v>
      </c>
      <c r="L13" s="85"/>
      <c r="M13" s="86"/>
      <c r="N13" s="2686">
        <f t="shared" si="1"/>
        <v>0</v>
      </c>
      <c r="O13" s="86"/>
      <c r="P13" s="34"/>
      <c r="Q13" s="34"/>
      <c r="R13" s="34"/>
      <c r="S13" s="34"/>
      <c r="T13" s="34"/>
      <c r="U13" s="34"/>
      <c r="V13" s="34"/>
      <c r="W13" s="34"/>
      <c r="X13" s="34"/>
      <c r="Y13" s="34"/>
      <c r="Z13" s="34"/>
    </row>
    <row r="14" ht="12.0" customHeight="1">
      <c r="A14" s="439"/>
      <c r="B14" s="34"/>
      <c r="C14" s="34"/>
      <c r="D14" s="34"/>
      <c r="E14" s="2684" t="str">
        <f>+'OPI Constr'!C107</f>
        <v/>
      </c>
      <c r="F14" s="85"/>
      <c r="G14" s="2686" t="str">
        <f>+'OPI Constr'!G107</f>
        <v/>
      </c>
      <c r="H14" s="86"/>
      <c r="I14" s="2685" t="str">
        <f>+'OPI Constr'!Z110</f>
        <v/>
      </c>
      <c r="J14" s="86"/>
      <c r="K14" s="2686">
        <f>+'OPI Constr'!AC110</f>
        <v>0</v>
      </c>
      <c r="L14" s="85"/>
      <c r="M14" s="86"/>
      <c r="N14" s="2686">
        <f t="shared" si="1"/>
        <v>0</v>
      </c>
      <c r="O14" s="86"/>
      <c r="P14" s="34"/>
      <c r="Q14" s="34"/>
      <c r="R14" s="34"/>
      <c r="S14" s="34"/>
      <c r="T14" s="34"/>
      <c r="U14" s="34"/>
      <c r="V14" s="34"/>
      <c r="W14" s="34"/>
      <c r="X14" s="34"/>
      <c r="Y14" s="34"/>
      <c r="Z14" s="34"/>
    </row>
    <row r="15" ht="12.0" customHeight="1">
      <c r="A15" s="439"/>
      <c r="B15" s="2687"/>
      <c r="C15" s="34"/>
      <c r="D15" s="34"/>
      <c r="E15" s="34"/>
      <c r="F15" s="34"/>
      <c r="G15" s="34"/>
      <c r="H15" s="34"/>
      <c r="I15" s="34"/>
      <c r="J15" s="34"/>
      <c r="K15" s="34"/>
      <c r="L15" s="34"/>
      <c r="M15" s="2688" t="s">
        <v>1595</v>
      </c>
      <c r="N15" s="2689">
        <f>+ROUND(SUM(N12:N14),-3)</f>
        <v>966000</v>
      </c>
      <c r="O15" s="255"/>
      <c r="P15" s="34"/>
      <c r="Q15" s="34"/>
      <c r="R15" s="34"/>
      <c r="S15" s="34"/>
      <c r="T15" s="34"/>
      <c r="U15" s="34"/>
      <c r="V15" s="34"/>
      <c r="W15" s="34"/>
      <c r="X15" s="34"/>
      <c r="Y15" s="34"/>
      <c r="Z15" s="34"/>
    </row>
    <row r="16" ht="12.0" customHeight="1">
      <c r="A16" s="439"/>
      <c r="B16" s="2687"/>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687"/>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7" t="s">
        <v>1596</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690" t="s">
        <v>232</v>
      </c>
      <c r="B19" s="2691" t="s">
        <v>1597</v>
      </c>
      <c r="C19" s="2691" t="s">
        <v>450</v>
      </c>
      <c r="D19" s="2692" t="s">
        <v>1598</v>
      </c>
      <c r="E19" s="458"/>
      <c r="F19" s="2691" t="s">
        <v>1599</v>
      </c>
      <c r="G19" s="2691" t="s">
        <v>235</v>
      </c>
      <c r="H19" s="2690" t="s">
        <v>1600</v>
      </c>
      <c r="I19" s="2693" t="s">
        <v>1601</v>
      </c>
      <c r="J19" s="85"/>
      <c r="K19" s="85"/>
      <c r="L19" s="85"/>
      <c r="M19" s="86"/>
      <c r="N19" s="2691" t="s">
        <v>1602</v>
      </c>
      <c r="O19" s="2690" t="s">
        <v>1594</v>
      </c>
      <c r="P19" s="34"/>
      <c r="Q19" s="34"/>
      <c r="R19" s="34"/>
      <c r="S19" s="34"/>
      <c r="T19" s="34"/>
      <c r="U19" s="34"/>
      <c r="V19" s="34"/>
      <c r="W19" s="34"/>
      <c r="X19" s="34"/>
      <c r="Y19" s="34"/>
      <c r="Z19" s="34"/>
    </row>
    <row r="20" ht="12.75" customHeight="1">
      <c r="A20" s="2694"/>
      <c r="B20" s="2695" t="s">
        <v>1603</v>
      </c>
      <c r="C20" s="2695"/>
      <c r="D20" s="2696" t="s">
        <v>1604</v>
      </c>
      <c r="E20" s="474"/>
      <c r="F20" s="2695" t="s">
        <v>1605</v>
      </c>
      <c r="G20" s="2695" t="s">
        <v>1606</v>
      </c>
      <c r="H20" s="2697" t="s">
        <v>1606</v>
      </c>
      <c r="I20" s="2698" t="s">
        <v>1607</v>
      </c>
      <c r="J20" s="86"/>
      <c r="K20" s="2693" t="s">
        <v>1608</v>
      </c>
      <c r="L20" s="86"/>
      <c r="M20" s="2699" t="s">
        <v>1609</v>
      </c>
      <c r="N20" s="2695" t="s">
        <v>1606</v>
      </c>
      <c r="O20" s="2700"/>
      <c r="P20" s="34"/>
      <c r="Q20" s="34"/>
      <c r="R20" s="34"/>
      <c r="S20" s="34"/>
      <c r="T20" s="34"/>
      <c r="U20" s="34"/>
      <c r="V20" s="34"/>
      <c r="W20" s="34"/>
      <c r="X20" s="34"/>
      <c r="Y20" s="34"/>
      <c r="Z20" s="34"/>
    </row>
    <row r="21" ht="12.75" customHeight="1">
      <c r="A21" s="2701" t="str">
        <f>+'OPI Constr'!A115</f>
        <v>I.-</v>
      </c>
      <c r="B21" s="2702">
        <f>'OPI Constr'!K115</f>
        <v>16.08</v>
      </c>
      <c r="C21" s="2703">
        <v>1.0</v>
      </c>
      <c r="D21" s="2704">
        <f>'OPI Constr'!N115</f>
        <v>13500</v>
      </c>
      <c r="E21" s="86"/>
      <c r="F21" s="2705">
        <f>+B21*C21*D21</f>
        <v>217080</v>
      </c>
      <c r="G21" s="2706">
        <v>30.0</v>
      </c>
      <c r="H21" s="2707">
        <f>+'OPI Constr'!AP115</f>
        <v>70</v>
      </c>
      <c r="I21" s="2708">
        <f>+'% Avance de Obra'!$I$53</f>
        <v>1</v>
      </c>
      <c r="J21" s="86"/>
      <c r="K21" s="2709">
        <f>+'OPI Constr'!Z115</f>
        <v>0.73</v>
      </c>
      <c r="L21" s="86"/>
      <c r="M21" s="2705">
        <f t="shared" ref="M21:M24" si="2">ROUND(I21*K21,2)</f>
        <v>0.73</v>
      </c>
      <c r="N21" s="2710">
        <f t="shared" ref="N21:N24" si="3">M21*H21</f>
        <v>51.1</v>
      </c>
      <c r="O21" s="2711">
        <f t="shared" ref="O21:O24" si="4">F21*M21</f>
        <v>158468.4</v>
      </c>
      <c r="P21" s="34"/>
      <c r="Q21" s="34"/>
      <c r="R21" s="34"/>
      <c r="S21" s="34"/>
      <c r="T21" s="34"/>
      <c r="U21" s="34"/>
      <c r="V21" s="34"/>
      <c r="W21" s="34"/>
      <c r="X21" s="34"/>
      <c r="Y21" s="34"/>
      <c r="Z21" s="34"/>
    </row>
    <row r="22" ht="12.75" customHeight="1">
      <c r="A22" s="2701" t="str">
        <f>+'OPI Constr'!A116</f>
        <v>II.-</v>
      </c>
      <c r="B22" s="2702">
        <f>'OPI Constr'!K116</f>
        <v>58.12</v>
      </c>
      <c r="C22" s="2712">
        <v>1.0</v>
      </c>
      <c r="D22" s="2704">
        <f>'OPI Constr'!N116</f>
        <v>13500</v>
      </c>
      <c r="E22" s="86"/>
      <c r="F22" s="2705">
        <f t="shared" ref="F22:F24" si="5">+D22*B22</f>
        <v>784620</v>
      </c>
      <c r="G22" s="2706">
        <v>0.0</v>
      </c>
      <c r="H22" s="2707">
        <f>+'OPI Constr'!AP116</f>
        <v>70</v>
      </c>
      <c r="I22" s="2708">
        <f>+'% Avance de Obra'!$I$53</f>
        <v>1</v>
      </c>
      <c r="J22" s="86"/>
      <c r="K22" s="2709">
        <f>+'OPI Constr'!Z116</f>
        <v>0.96</v>
      </c>
      <c r="L22" s="86"/>
      <c r="M22" s="2705">
        <f t="shared" si="2"/>
        <v>0.96</v>
      </c>
      <c r="N22" s="2710">
        <f t="shared" si="3"/>
        <v>67.2</v>
      </c>
      <c r="O22" s="2711">
        <f t="shared" si="4"/>
        <v>753235.2</v>
      </c>
      <c r="P22" s="34"/>
      <c r="Q22" s="34"/>
      <c r="R22" s="34"/>
      <c r="S22" s="34"/>
      <c r="T22" s="34"/>
      <c r="U22" s="34"/>
      <c r="V22" s="34"/>
      <c r="W22" s="34"/>
      <c r="X22" s="34"/>
      <c r="Y22" s="34"/>
      <c r="Z22" s="34"/>
    </row>
    <row r="23" ht="12.75" customHeight="1">
      <c r="A23" s="2701" t="str">
        <f>+'OPI Constr'!A117</f>
        <v>III.-</v>
      </c>
      <c r="B23" s="2702">
        <f>'OPI Constr'!K117</f>
        <v>0</v>
      </c>
      <c r="C23" s="2712">
        <v>1.0</v>
      </c>
      <c r="D23" s="2704" t="str">
        <f>'OPI Constr'!N117</f>
        <v/>
      </c>
      <c r="E23" s="86"/>
      <c r="F23" s="2705">
        <f t="shared" si="5"/>
        <v>0</v>
      </c>
      <c r="G23" s="2706">
        <v>0.0</v>
      </c>
      <c r="H23" s="2707">
        <f>+'OPI Constr'!AP117</f>
        <v>70</v>
      </c>
      <c r="I23" s="2708">
        <f>+'% Avance de Obra'!$I$53</f>
        <v>1</v>
      </c>
      <c r="J23" s="86"/>
      <c r="K23" s="2709">
        <f>+'OPI Constr'!Z117</f>
        <v>0.96</v>
      </c>
      <c r="L23" s="86"/>
      <c r="M23" s="2705">
        <f t="shared" si="2"/>
        <v>0.96</v>
      </c>
      <c r="N23" s="2710">
        <f t="shared" si="3"/>
        <v>67.2</v>
      </c>
      <c r="O23" s="2711">
        <f t="shared" si="4"/>
        <v>0</v>
      </c>
      <c r="P23" s="34"/>
      <c r="Q23" s="34"/>
      <c r="R23" s="34"/>
      <c r="S23" s="34"/>
      <c r="T23" s="34"/>
      <c r="U23" s="34"/>
      <c r="V23" s="34"/>
      <c r="W23" s="34"/>
      <c r="X23" s="34"/>
      <c r="Y23" s="34"/>
      <c r="Z23" s="34"/>
    </row>
    <row r="24" ht="12.75" customHeight="1">
      <c r="A24" s="2701" t="str">
        <f>+'OPI Constr'!A118</f>
        <v>IV.-</v>
      </c>
      <c r="B24" s="2702" t="str">
        <f>'OPI Constr'!K118</f>
        <v/>
      </c>
      <c r="C24" s="2712">
        <v>1.0</v>
      </c>
      <c r="D24" s="2704" t="str">
        <f>'OPI Constr'!N118</f>
        <v/>
      </c>
      <c r="E24" s="86"/>
      <c r="F24" s="2711">
        <f t="shared" si="5"/>
        <v>0</v>
      </c>
      <c r="G24" s="2706">
        <v>0.0</v>
      </c>
      <c r="H24" s="2707">
        <f>+'OPI Constr'!AP118</f>
        <v>70</v>
      </c>
      <c r="I24" s="2708">
        <f>+'% Avance de Obra'!$I$53</f>
        <v>1</v>
      </c>
      <c r="J24" s="86"/>
      <c r="K24" s="2709">
        <f>+'OPI Constr'!Z118</f>
        <v>0.96</v>
      </c>
      <c r="L24" s="86"/>
      <c r="M24" s="2705">
        <f t="shared" si="2"/>
        <v>0.96</v>
      </c>
      <c r="N24" s="2710">
        <f t="shared" si="3"/>
        <v>67.2</v>
      </c>
      <c r="O24" s="2711">
        <f t="shared" si="4"/>
        <v>0</v>
      </c>
      <c r="P24" s="34"/>
      <c r="Q24" s="34"/>
      <c r="R24" s="34"/>
      <c r="S24" s="34"/>
      <c r="T24" s="34"/>
      <c r="U24" s="34"/>
      <c r="V24" s="34"/>
      <c r="W24" s="34"/>
      <c r="X24" s="34"/>
      <c r="Y24" s="34"/>
      <c r="Z24" s="34"/>
    </row>
    <row r="25" ht="12.75" customHeight="1">
      <c r="A25" s="34"/>
      <c r="B25" s="2713">
        <f>SUM(B21:B24)</f>
        <v>74.2</v>
      </c>
      <c r="C25" s="34"/>
      <c r="D25" s="2714">
        <f>SUM(D21:E24)</f>
        <v>27000</v>
      </c>
      <c r="E25" s="86"/>
      <c r="F25" s="2715"/>
      <c r="G25" s="34"/>
      <c r="H25" s="34"/>
      <c r="I25" s="34"/>
      <c r="J25" s="34"/>
      <c r="K25" s="34"/>
      <c r="L25" s="34"/>
      <c r="M25" s="34"/>
      <c r="N25" s="34"/>
      <c r="O25" s="2716">
        <f>SUM(O21:O24)</f>
        <v>911703.6</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688" t="s">
        <v>1610</v>
      </c>
      <c r="O27" s="2717">
        <f>+ROUND(O25,-3)</f>
        <v>912000</v>
      </c>
      <c r="P27" s="34"/>
      <c r="Q27" s="34"/>
      <c r="R27" s="34"/>
      <c r="S27" s="34"/>
      <c r="T27" s="34"/>
      <c r="U27" s="34"/>
      <c r="V27" s="34"/>
      <c r="W27" s="34"/>
      <c r="X27" s="34"/>
      <c r="Y27" s="34"/>
      <c r="Z27" s="34"/>
    </row>
    <row r="28" ht="12.75" customHeight="1">
      <c r="A28" s="439" t="s">
        <v>1611</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690" t="s">
        <v>232</v>
      </c>
      <c r="B29" s="2691" t="s">
        <v>1597</v>
      </c>
      <c r="C29" s="2691" t="s">
        <v>450</v>
      </c>
      <c r="D29" s="2692" t="s">
        <v>1598</v>
      </c>
      <c r="E29" s="458"/>
      <c r="F29" s="2691" t="s">
        <v>1599</v>
      </c>
      <c r="G29" s="2691" t="s">
        <v>235</v>
      </c>
      <c r="H29" s="2690" t="s">
        <v>1600</v>
      </c>
      <c r="I29" s="2693" t="s">
        <v>1601</v>
      </c>
      <c r="J29" s="85"/>
      <c r="K29" s="85"/>
      <c r="L29" s="85"/>
      <c r="M29" s="86"/>
      <c r="N29" s="2691" t="s">
        <v>1602</v>
      </c>
      <c r="O29" s="2690" t="s">
        <v>1594</v>
      </c>
      <c r="P29" s="34"/>
      <c r="Q29" s="34"/>
      <c r="R29" s="34"/>
      <c r="S29" s="34"/>
      <c r="T29" s="34"/>
      <c r="U29" s="34"/>
      <c r="V29" s="34"/>
      <c r="W29" s="34"/>
      <c r="X29" s="34"/>
      <c r="Y29" s="34"/>
      <c r="Z29" s="34"/>
    </row>
    <row r="30" ht="12.75" customHeight="1">
      <c r="A30" s="2694"/>
      <c r="B30" s="2695" t="s">
        <v>1603</v>
      </c>
      <c r="C30" s="2695"/>
      <c r="D30" s="2696" t="s">
        <v>1604</v>
      </c>
      <c r="E30" s="474"/>
      <c r="F30" s="2695" t="s">
        <v>1605</v>
      </c>
      <c r="G30" s="2695" t="s">
        <v>1606</v>
      </c>
      <c r="H30" s="2697" t="s">
        <v>1606</v>
      </c>
      <c r="I30" s="2718" t="s">
        <v>1612</v>
      </c>
      <c r="J30" s="86"/>
      <c r="K30" s="2693" t="s">
        <v>1608</v>
      </c>
      <c r="L30" s="86"/>
      <c r="M30" s="2699" t="s">
        <v>1609</v>
      </c>
      <c r="N30" s="2695" t="s">
        <v>1606</v>
      </c>
      <c r="O30" s="2700"/>
      <c r="P30" s="34"/>
      <c r="Q30" s="34"/>
      <c r="R30" s="34"/>
      <c r="S30" s="34"/>
      <c r="T30" s="34"/>
      <c r="U30" s="34"/>
      <c r="V30" s="34"/>
      <c r="W30" s="34"/>
      <c r="X30" s="34"/>
      <c r="Y30" s="34"/>
      <c r="Z30" s="34"/>
    </row>
    <row r="31" ht="12.75" customHeight="1">
      <c r="A31" s="2719"/>
      <c r="B31" s="2705"/>
      <c r="C31" s="2703">
        <v>1.0</v>
      </c>
      <c r="D31" s="2704"/>
      <c r="E31" s="86"/>
      <c r="F31" s="2705">
        <f t="shared" ref="F31:F32" si="6">+D31*B31</f>
        <v>0</v>
      </c>
      <c r="G31" s="2706">
        <v>0.0</v>
      </c>
      <c r="H31" s="2707">
        <v>70.0</v>
      </c>
      <c r="I31" s="2720">
        <v>1.0</v>
      </c>
      <c r="J31" s="86"/>
      <c r="K31" s="2709">
        <v>1.0</v>
      </c>
      <c r="L31" s="86"/>
      <c r="M31" s="2705">
        <f t="shared" ref="M31:M32" si="7">ROUND(I31*K31,2)</f>
        <v>1</v>
      </c>
      <c r="N31" s="2710">
        <f t="shared" ref="N31:N32" si="8">M31*H31</f>
        <v>70</v>
      </c>
      <c r="O31" s="2711">
        <f t="shared" ref="O31:O32" si="9">F31*M31</f>
        <v>0</v>
      </c>
      <c r="P31" s="34"/>
      <c r="Q31" s="34"/>
      <c r="R31" s="34"/>
      <c r="S31" s="34"/>
      <c r="T31" s="34"/>
      <c r="U31" s="34"/>
      <c r="V31" s="34"/>
      <c r="W31" s="34"/>
      <c r="X31" s="34"/>
      <c r="Y31" s="34"/>
      <c r="Z31" s="34"/>
    </row>
    <row r="32" ht="12.75" customHeight="1">
      <c r="A32" s="2719"/>
      <c r="B32" s="2705">
        <v>0.0</v>
      </c>
      <c r="C32" s="2703">
        <v>0.0</v>
      </c>
      <c r="D32" s="2704"/>
      <c r="E32" s="86"/>
      <c r="F32" s="2705">
        <f t="shared" si="6"/>
        <v>0</v>
      </c>
      <c r="G32" s="2706">
        <v>0.0</v>
      </c>
      <c r="H32" s="2707"/>
      <c r="I32" s="2721"/>
      <c r="J32" s="86"/>
      <c r="K32" s="2709">
        <v>1.0</v>
      </c>
      <c r="L32" s="86"/>
      <c r="M32" s="2705">
        <f t="shared" si="7"/>
        <v>0</v>
      </c>
      <c r="N32" s="2710">
        <f t="shared" si="8"/>
        <v>0</v>
      </c>
      <c r="O32" s="2711">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716">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688" t="s">
        <v>1610</v>
      </c>
      <c r="O35" s="2717">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688" t="s">
        <v>1613</v>
      </c>
      <c r="O38" s="2722">
        <f>+N15+O27+O35</f>
        <v>1878000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723" t="s">
        <v>1614</v>
      </c>
      <c r="B41" s="2675"/>
      <c r="C41" s="2676"/>
      <c r="D41" s="2677"/>
      <c r="E41" s="2677"/>
      <c r="F41" s="2677"/>
      <c r="G41" s="2677"/>
      <c r="H41" s="2677"/>
      <c r="I41" s="2677"/>
      <c r="J41" s="2677"/>
      <c r="K41" s="2677"/>
      <c r="L41" s="2677"/>
      <c r="M41" s="2677"/>
      <c r="N41" s="2677"/>
      <c r="O41" s="2677"/>
      <c r="P41" s="34"/>
      <c r="Q41" s="34"/>
      <c r="R41" s="34"/>
      <c r="S41" s="34"/>
      <c r="T41" s="34"/>
      <c r="U41" s="34"/>
      <c r="V41" s="34"/>
      <c r="W41" s="34"/>
      <c r="X41" s="34"/>
      <c r="Y41" s="34"/>
      <c r="Z41" s="34"/>
    </row>
    <row r="42" ht="12.75" customHeight="1">
      <c r="A42" s="2724"/>
      <c r="B42" s="2724"/>
      <c r="C42" s="2724"/>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25" t="s">
        <v>1615</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26">
        <f>+A46+A48</f>
        <v>1967700</v>
      </c>
      <c r="B44" s="695"/>
      <c r="C44" s="2727" t="s">
        <v>1616</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28"/>
      <c r="B45" s="2728"/>
      <c r="C45" s="2729"/>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30">
        <f>+(B21*D21)+(B22*D22)+(B23*D23)+(B24*D24)</f>
        <v>1001700</v>
      </c>
      <c r="B46" s="2731">
        <f>+A46/A44</f>
        <v>0.5090715048</v>
      </c>
      <c r="C46" s="2729" t="s">
        <v>1617</v>
      </c>
      <c r="D46" s="34"/>
      <c r="E46" s="34"/>
      <c r="F46" s="34"/>
      <c r="G46" s="34"/>
      <c r="H46" s="34"/>
      <c r="I46" s="34"/>
      <c r="J46" s="34"/>
      <c r="K46" s="34"/>
      <c r="L46" s="34"/>
      <c r="M46" s="34"/>
      <c r="N46" s="2688" t="s">
        <v>1618</v>
      </c>
      <c r="O46" s="2732">
        <f>+'OPI Constr'!E213</f>
        <v>32793.32836</v>
      </c>
      <c r="P46" s="34"/>
      <c r="Q46" s="34"/>
      <c r="R46" s="34"/>
      <c r="S46" s="34"/>
      <c r="T46" s="34"/>
      <c r="U46" s="34"/>
      <c r="V46" s="34"/>
      <c r="W46" s="34"/>
      <c r="X46" s="34"/>
      <c r="Y46" s="34"/>
      <c r="Z46" s="34"/>
    </row>
    <row r="47" ht="6.0" customHeight="1">
      <c r="A47" s="2733"/>
      <c r="B47" s="2734"/>
      <c r="C47" s="2729"/>
      <c r="D47" s="34"/>
      <c r="E47" s="34"/>
      <c r="F47" s="34"/>
      <c r="G47" s="34"/>
      <c r="H47" s="34"/>
      <c r="I47" s="34"/>
      <c r="J47" s="34"/>
      <c r="K47" s="34"/>
      <c r="L47" s="34"/>
      <c r="M47" s="34"/>
      <c r="N47" s="2688"/>
      <c r="O47" s="2735"/>
      <c r="P47" s="34"/>
      <c r="Q47" s="34"/>
      <c r="R47" s="34"/>
      <c r="S47" s="34"/>
      <c r="T47" s="34"/>
      <c r="U47" s="34"/>
      <c r="V47" s="34"/>
      <c r="W47" s="34"/>
      <c r="X47" s="34"/>
      <c r="Y47" s="34"/>
      <c r="Z47" s="34"/>
    </row>
    <row r="48" ht="12.75" customHeight="1">
      <c r="A48" s="2730">
        <f>+N15</f>
        <v>966000</v>
      </c>
      <c r="B48" s="2731">
        <f>+A48/A44</f>
        <v>0.4909284952</v>
      </c>
      <c r="C48" s="2729" t="s">
        <v>87</v>
      </c>
      <c r="D48" s="34"/>
      <c r="E48" s="34"/>
      <c r="F48" s="34"/>
      <c r="G48" s="34"/>
      <c r="H48" s="34"/>
      <c r="I48" s="34"/>
      <c r="J48" s="34"/>
      <c r="K48" s="34"/>
      <c r="L48" s="34"/>
      <c r="M48" s="34"/>
      <c r="N48" s="2688" t="s">
        <v>1619</v>
      </c>
      <c r="O48" s="2736">
        <v>1.0</v>
      </c>
      <c r="P48" s="34"/>
      <c r="Q48" s="34"/>
      <c r="R48" s="34"/>
      <c r="S48" s="34"/>
      <c r="T48" s="34"/>
      <c r="U48" s="34"/>
      <c r="V48" s="34"/>
      <c r="W48" s="34"/>
      <c r="X48" s="34"/>
      <c r="Y48" s="34"/>
      <c r="Z48" s="34"/>
    </row>
    <row r="49" ht="12.75" customHeight="1">
      <c r="A49" s="34"/>
      <c r="B49" s="2737"/>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38">
        <f>+(B46*'% Avance de Obra'!I53)+B48</f>
        <v>1</v>
      </c>
      <c r="C50" s="2729" t="s">
        <v>302</v>
      </c>
      <c r="D50" s="34"/>
      <c r="E50" s="34"/>
      <c r="F50" s="34"/>
      <c r="G50" s="34"/>
      <c r="H50" s="34"/>
      <c r="I50" s="34"/>
      <c r="J50" s="34"/>
      <c r="K50" s="34"/>
      <c r="L50" s="34"/>
      <c r="M50" s="34"/>
      <c r="N50" s="2688" t="s">
        <v>1620</v>
      </c>
      <c r="O50" s="2739">
        <f>+O46*O48</f>
        <v>32793.32836</v>
      </c>
      <c r="P50" s="34"/>
      <c r="Q50" s="2740"/>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688" t="s">
        <v>1621</v>
      </c>
      <c r="O52" s="2739">
        <f>+(O50*B50)*1.0475</f>
        <v>34351.01146</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688" t="s">
        <v>1622</v>
      </c>
      <c r="O53" s="2741">
        <f>+B25</f>
        <v>74.2</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688" t="s">
        <v>1623</v>
      </c>
      <c r="O55" s="2742">
        <f>+ROUND(O52*O53,-3)</f>
        <v>2549000</v>
      </c>
      <c r="P55" s="2743"/>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44"/>
      <c r="B1" s="2744"/>
      <c r="C1" s="2744"/>
      <c r="D1" s="2744"/>
      <c r="E1" s="2744"/>
      <c r="F1" s="2744"/>
      <c r="G1" s="2744"/>
      <c r="H1" s="2744"/>
      <c r="I1" s="2745"/>
      <c r="J1" s="2744"/>
      <c r="K1" s="2744"/>
      <c r="L1" s="2744"/>
      <c r="M1" s="2744"/>
      <c r="N1" s="2744"/>
      <c r="O1" s="2744"/>
      <c r="P1" s="2744"/>
      <c r="Q1" s="2744"/>
      <c r="R1" s="2744"/>
      <c r="S1" s="2744"/>
      <c r="T1" s="1006"/>
      <c r="U1" s="1006"/>
      <c r="V1" s="1006"/>
      <c r="W1" s="1006"/>
      <c r="X1" s="1006"/>
      <c r="Y1" s="1006"/>
      <c r="Z1" s="1006"/>
    </row>
    <row r="2">
      <c r="A2" s="2744"/>
      <c r="B2" s="1006"/>
      <c r="C2" s="1029"/>
      <c r="D2" s="1029"/>
      <c r="E2" s="1029"/>
      <c r="F2" s="26"/>
      <c r="G2" s="2746"/>
      <c r="H2" s="28">
        <v>3.314189492E9</v>
      </c>
      <c r="J2" s="1956"/>
      <c r="K2" s="2744"/>
      <c r="L2" s="2744"/>
      <c r="M2" s="2744"/>
      <c r="N2" s="2744"/>
      <c r="O2" s="2744"/>
      <c r="P2" s="2744"/>
      <c r="Q2" s="2744"/>
      <c r="R2" s="2744"/>
      <c r="S2" s="2744"/>
      <c r="T2" s="1006"/>
      <c r="U2" s="1006"/>
      <c r="V2" s="1006"/>
      <c r="W2" s="1006"/>
      <c r="X2" s="1006"/>
      <c r="Y2" s="1006"/>
      <c r="Z2" s="1006"/>
    </row>
    <row r="3">
      <c r="A3" s="2744"/>
      <c r="B3" s="1006"/>
      <c r="C3" s="1029"/>
      <c r="D3" s="1029"/>
      <c r="E3" s="1029"/>
      <c r="F3" s="35"/>
      <c r="G3" s="2747"/>
      <c r="H3" s="37" t="s">
        <v>95</v>
      </c>
      <c r="I3" s="37"/>
      <c r="J3" s="37"/>
      <c r="K3" s="2744"/>
      <c r="L3" s="2744"/>
      <c r="M3" s="2744"/>
      <c r="N3" s="2744"/>
      <c r="O3" s="2744"/>
      <c r="P3" s="2744"/>
      <c r="Q3" s="2744"/>
      <c r="R3" s="2744"/>
      <c r="S3" s="2744"/>
      <c r="T3" s="1006"/>
      <c r="U3" s="1006"/>
      <c r="V3" s="1006"/>
      <c r="W3" s="1006"/>
      <c r="X3" s="1006"/>
      <c r="Y3" s="1006"/>
      <c r="Z3" s="1006"/>
    </row>
    <row r="4">
      <c r="A4" s="2744"/>
      <c r="B4" s="1006"/>
      <c r="C4" s="1029"/>
      <c r="D4" s="1029"/>
      <c r="E4" s="1029"/>
      <c r="F4" s="35"/>
      <c r="G4" s="2747"/>
      <c r="H4" s="37" t="s">
        <v>96</v>
      </c>
      <c r="I4" s="37"/>
      <c r="J4" s="37"/>
      <c r="K4" s="2744"/>
      <c r="L4" s="2744"/>
      <c r="M4" s="2744"/>
      <c r="N4" s="2744"/>
      <c r="O4" s="2744"/>
      <c r="P4" s="2744"/>
      <c r="Q4" s="2744"/>
      <c r="R4" s="2744"/>
      <c r="S4" s="2744"/>
      <c r="T4" s="1006"/>
      <c r="U4" s="1006"/>
      <c r="V4" s="1006"/>
      <c r="W4" s="1006"/>
      <c r="X4" s="1006"/>
      <c r="Y4" s="1006"/>
      <c r="Z4" s="1006"/>
    </row>
    <row r="5">
      <c r="A5" s="2744"/>
      <c r="B5" s="1006"/>
      <c r="C5" s="1029"/>
      <c r="D5" s="1029"/>
      <c r="E5" s="1029"/>
      <c r="F5" s="26"/>
      <c r="G5" s="1956"/>
      <c r="H5" s="43" t="s">
        <v>98</v>
      </c>
      <c r="I5" s="43"/>
      <c r="J5" s="43"/>
      <c r="K5" s="2744"/>
      <c r="L5" s="2744"/>
      <c r="M5" s="2744"/>
      <c r="N5" s="2744"/>
      <c r="O5" s="2744"/>
      <c r="P5" s="2744"/>
      <c r="Q5" s="2744"/>
      <c r="R5" s="2744"/>
      <c r="S5" s="2744"/>
      <c r="T5" s="1006"/>
      <c r="U5" s="1006"/>
      <c r="V5" s="1006"/>
      <c r="W5" s="1006"/>
      <c r="X5" s="1006"/>
      <c r="Y5" s="1006"/>
      <c r="Z5" s="1006"/>
    </row>
    <row r="6">
      <c r="A6" s="2744"/>
      <c r="B6" s="1006"/>
      <c r="C6" s="1006"/>
      <c r="D6" s="2748" t="s">
        <v>1624</v>
      </c>
      <c r="E6" s="1006"/>
      <c r="F6" s="1006"/>
      <c r="G6" s="1006"/>
      <c r="H6" s="1006"/>
      <c r="I6" s="2749"/>
      <c r="J6" s="1006"/>
      <c r="K6" s="2744"/>
      <c r="L6" s="2744"/>
      <c r="M6" s="2744"/>
      <c r="N6" s="2744"/>
      <c r="O6" s="2744"/>
      <c r="P6" s="2744"/>
      <c r="Q6" s="2744"/>
      <c r="R6" s="2744"/>
      <c r="S6" s="2744"/>
      <c r="T6" s="1006"/>
      <c r="U6" s="1006"/>
      <c r="V6" s="1006"/>
      <c r="W6" s="1006"/>
      <c r="X6" s="1006"/>
      <c r="Y6" s="1006"/>
      <c r="Z6" s="1006"/>
    </row>
    <row r="7">
      <c r="A7" s="2744"/>
      <c r="B7" s="1006"/>
      <c r="C7" s="1006"/>
      <c r="D7" s="1772"/>
      <c r="E7" s="1006"/>
      <c r="F7" s="1006"/>
      <c r="G7" s="1006"/>
      <c r="H7" s="1006"/>
      <c r="I7" s="2749"/>
      <c r="J7" s="1006"/>
      <c r="K7" s="2744"/>
      <c r="L7" s="2744"/>
      <c r="M7" s="2744"/>
      <c r="N7" s="2744"/>
      <c r="O7" s="2744"/>
      <c r="P7" s="2744"/>
      <c r="Q7" s="2744"/>
      <c r="R7" s="2744"/>
      <c r="S7" s="2744"/>
      <c r="T7" s="1006"/>
      <c r="U7" s="1006"/>
      <c r="V7" s="1006"/>
      <c r="W7" s="1006"/>
      <c r="X7" s="1006"/>
      <c r="Y7" s="1006"/>
      <c r="Z7" s="1006"/>
    </row>
    <row r="8">
      <c r="A8" s="2744"/>
      <c r="B8" s="1006"/>
      <c r="C8" s="1006"/>
      <c r="D8" s="842" t="s">
        <v>1625</v>
      </c>
      <c r="E8" s="2750" t="s">
        <v>1626</v>
      </c>
      <c r="F8" s="2751"/>
      <c r="G8" s="1006"/>
      <c r="H8" s="1006"/>
      <c r="I8" s="2749"/>
      <c r="J8" s="1006"/>
      <c r="K8" s="2744"/>
      <c r="L8" s="2744"/>
      <c r="M8" s="2744"/>
      <c r="N8" s="2744"/>
      <c r="O8" s="2744"/>
      <c r="P8" s="2744"/>
      <c r="Q8" s="2744"/>
      <c r="R8" s="2744"/>
      <c r="S8" s="2744"/>
      <c r="T8" s="1006"/>
      <c r="U8" s="1006"/>
      <c r="V8" s="1006"/>
      <c r="W8" s="1006"/>
      <c r="X8" s="1006"/>
      <c r="Y8" s="1006"/>
      <c r="Z8" s="1006"/>
    </row>
    <row r="9" ht="5.25" customHeight="1">
      <c r="A9" s="2744"/>
      <c r="B9" s="1006"/>
      <c r="C9" s="1006"/>
      <c r="D9" s="842"/>
      <c r="E9" s="1006"/>
      <c r="F9" s="1006"/>
      <c r="G9" s="1006"/>
      <c r="H9" s="2752"/>
      <c r="I9" s="2753"/>
      <c r="J9" s="1006"/>
      <c r="K9" s="2744"/>
      <c r="L9" s="2744"/>
      <c r="M9" s="2744"/>
      <c r="N9" s="2744"/>
      <c r="O9" s="2744"/>
      <c r="P9" s="2744"/>
      <c r="Q9" s="2744"/>
      <c r="R9" s="2744"/>
      <c r="S9" s="2744"/>
      <c r="T9" s="1006"/>
      <c r="U9" s="1006"/>
      <c r="V9" s="1006"/>
      <c r="W9" s="1006"/>
      <c r="X9" s="1006"/>
      <c r="Y9" s="1006"/>
      <c r="Z9" s="1006"/>
    </row>
    <row r="10">
      <c r="A10" s="2744"/>
      <c r="B10" s="1006"/>
      <c r="C10" s="1006"/>
      <c r="D10" s="842" t="s">
        <v>1627</v>
      </c>
      <c r="E10" s="2750" t="s">
        <v>1628</v>
      </c>
      <c r="F10" s="2751"/>
      <c r="G10" s="1006"/>
      <c r="H10" s="2752"/>
      <c r="I10" s="2753" t="str">
        <f>+BIMSA!L46</f>
        <v>Deterioro resultante 0 %</v>
      </c>
      <c r="J10" s="1006"/>
      <c r="K10" s="2744"/>
      <c r="L10" s="2744"/>
      <c r="M10" s="2744"/>
      <c r="N10" s="2744"/>
      <c r="O10" s="2744"/>
      <c r="P10" s="2744"/>
      <c r="Q10" s="2744"/>
      <c r="R10" s="2744"/>
      <c r="S10" s="2744"/>
      <c r="T10" s="1006"/>
      <c r="U10" s="1006"/>
      <c r="V10" s="1006"/>
      <c r="W10" s="1006"/>
      <c r="X10" s="1006"/>
      <c r="Y10" s="1006"/>
      <c r="Z10" s="1006"/>
    </row>
    <row r="11">
      <c r="A11" s="2744"/>
      <c r="B11" s="1006"/>
      <c r="C11" s="1006"/>
      <c r="D11" s="1006"/>
      <c r="E11" s="2754"/>
      <c r="G11" s="1006"/>
      <c r="H11" s="1006"/>
      <c r="I11" s="2749"/>
      <c r="J11" s="1006"/>
      <c r="K11" s="2744"/>
      <c r="L11" s="2744"/>
      <c r="M11" s="2744"/>
      <c r="N11" s="2744"/>
      <c r="O11" s="2744"/>
      <c r="P11" s="2744"/>
      <c r="Q11" s="2744"/>
      <c r="R11" s="2744"/>
      <c r="S11" s="2744"/>
      <c r="T11" s="1006"/>
      <c r="U11" s="1006"/>
      <c r="V11" s="1006"/>
      <c r="W11" s="1006"/>
      <c r="X11" s="1006"/>
      <c r="Y11" s="1006"/>
      <c r="Z11" s="1006"/>
    </row>
    <row r="12">
      <c r="A12" s="2755"/>
      <c r="B12" s="2756"/>
      <c r="C12" s="2757"/>
      <c r="D12" s="2758" t="s">
        <v>1629</v>
      </c>
      <c r="E12" s="2758" t="s">
        <v>1630</v>
      </c>
      <c r="F12" s="2758" t="s">
        <v>1631</v>
      </c>
      <c r="G12" s="2759" t="s">
        <v>1632</v>
      </c>
      <c r="H12" s="2758" t="s">
        <v>1633</v>
      </c>
      <c r="I12" s="2760" t="s">
        <v>1634</v>
      </c>
      <c r="J12" s="2756"/>
      <c r="K12" s="2755"/>
      <c r="L12" s="2755"/>
      <c r="M12" s="2755"/>
      <c r="N12" s="2755"/>
      <c r="O12" s="2755"/>
      <c r="P12" s="2755"/>
      <c r="Q12" s="2755"/>
      <c r="R12" s="2755"/>
      <c r="S12" s="2755"/>
      <c r="T12" s="2756"/>
      <c r="U12" s="2756"/>
      <c r="V12" s="2756"/>
      <c r="W12" s="2756"/>
      <c r="X12" s="2756"/>
      <c r="Y12" s="2756"/>
      <c r="Z12" s="2756"/>
    </row>
    <row r="13">
      <c r="A13" s="2744"/>
      <c r="B13" s="1006"/>
      <c r="C13" s="2761">
        <v>1.0</v>
      </c>
      <c r="D13" s="2762" t="s">
        <v>1635</v>
      </c>
      <c r="E13" s="2763">
        <f>VLOOKUP(C13,BIMSA!$A$6:$AH$18,'Catálogo Bimsa'!$D$8,0)</f>
        <v>0.114869406</v>
      </c>
      <c r="F13" s="2764" t="s">
        <v>1636</v>
      </c>
      <c r="G13" s="2765">
        <v>0.4</v>
      </c>
      <c r="H13" s="2766">
        <v>1.0</v>
      </c>
      <c r="I13" s="2767">
        <f t="shared" ref="I13:I14" si="1">H13*G13*$E$13</f>
        <v>0.04594776242</v>
      </c>
      <c r="J13" s="1006"/>
      <c r="K13" s="2744"/>
      <c r="L13" s="2744"/>
      <c r="M13" s="2744"/>
      <c r="N13" s="2744"/>
      <c r="O13" s="2744"/>
      <c r="P13" s="2744"/>
      <c r="Q13" s="2744"/>
      <c r="R13" s="2744"/>
      <c r="S13" s="2744"/>
      <c r="T13" s="1006"/>
      <c r="U13" s="1006"/>
      <c r="V13" s="1006"/>
      <c r="W13" s="1006"/>
      <c r="X13" s="1006"/>
      <c r="Y13" s="1006"/>
      <c r="Z13" s="1006"/>
    </row>
    <row r="14">
      <c r="A14" s="2744"/>
      <c r="B14" s="1006"/>
      <c r="C14" s="2768"/>
      <c r="D14" s="2769"/>
      <c r="E14" s="2769"/>
      <c r="F14" s="2770" t="s">
        <v>1637</v>
      </c>
      <c r="G14" s="2771">
        <v>0.6</v>
      </c>
      <c r="H14" s="2772">
        <v>1.0</v>
      </c>
      <c r="I14" s="2773">
        <f t="shared" si="1"/>
        <v>0.06892164363</v>
      </c>
      <c r="J14" s="1006"/>
      <c r="K14" s="2744"/>
      <c r="L14" s="2744"/>
      <c r="M14" s="2744"/>
      <c r="N14" s="2744"/>
      <c r="O14" s="2744"/>
      <c r="P14" s="2744"/>
      <c r="Q14" s="2744"/>
      <c r="R14" s="2744"/>
      <c r="S14" s="2744"/>
      <c r="T14" s="1006"/>
      <c r="U14" s="1006"/>
      <c r="V14" s="1006"/>
      <c r="W14" s="1006"/>
      <c r="X14" s="1006"/>
      <c r="Y14" s="1006"/>
      <c r="Z14" s="1006"/>
    </row>
    <row r="15">
      <c r="A15" s="2744"/>
      <c r="B15" s="1006"/>
      <c r="C15" s="2774">
        <v>2.0</v>
      </c>
      <c r="D15" s="2775" t="s">
        <v>1638</v>
      </c>
      <c r="E15" s="2776">
        <f>VLOOKUP(C15,BIMSA!$A$6:$AH$18,'Catálogo Bimsa'!$D$8,0)</f>
        <v>0.1669474806</v>
      </c>
      <c r="F15" s="2777" t="s">
        <v>1639</v>
      </c>
      <c r="G15" s="2778">
        <v>0.3</v>
      </c>
      <c r="H15" s="2779">
        <v>1.0</v>
      </c>
      <c r="I15" s="2780">
        <f t="shared" ref="I15:I17" si="2">H15*G15*$E$15</f>
        <v>0.05008424417</v>
      </c>
      <c r="J15" s="1006"/>
      <c r="K15" s="2744"/>
      <c r="L15" s="2744"/>
      <c r="M15" s="2744"/>
      <c r="N15" s="2744"/>
      <c r="O15" s="2744"/>
      <c r="P15" s="2744"/>
      <c r="Q15" s="2744"/>
      <c r="R15" s="2744"/>
      <c r="S15" s="2744"/>
      <c r="T15" s="1006"/>
      <c r="U15" s="1006"/>
      <c r="V15" s="1006"/>
      <c r="W15" s="1006"/>
      <c r="X15" s="1006"/>
      <c r="Y15" s="1006"/>
      <c r="Z15" s="1006"/>
    </row>
    <row r="16">
      <c r="A16" s="2744"/>
      <c r="B16" s="1006"/>
      <c r="C16" s="2781"/>
      <c r="D16" s="2782"/>
      <c r="E16" s="2782"/>
      <c r="F16" s="2783" t="s">
        <v>1640</v>
      </c>
      <c r="G16" s="2784">
        <v>0.2</v>
      </c>
      <c r="H16" s="2785">
        <v>1.0</v>
      </c>
      <c r="I16" s="2786">
        <f t="shared" si="2"/>
        <v>0.03338949611</v>
      </c>
      <c r="J16" s="1006"/>
      <c r="K16" s="2744"/>
      <c r="L16" s="2744"/>
      <c r="M16" s="2744"/>
      <c r="N16" s="2744"/>
      <c r="O16" s="2744"/>
      <c r="P16" s="2744"/>
      <c r="Q16" s="2744"/>
      <c r="R16" s="2744"/>
      <c r="S16" s="2744"/>
      <c r="T16" s="1006"/>
      <c r="U16" s="1006"/>
      <c r="V16" s="1006"/>
      <c r="W16" s="1006"/>
      <c r="X16" s="1006"/>
      <c r="Y16" s="1006"/>
      <c r="Z16" s="1006"/>
    </row>
    <row r="17">
      <c r="A17" s="2744"/>
      <c r="B17" s="1006"/>
      <c r="C17" s="2768"/>
      <c r="D17" s="2769"/>
      <c r="E17" s="2769"/>
      <c r="F17" s="2770" t="s">
        <v>1641</v>
      </c>
      <c r="G17" s="2771">
        <v>0.5</v>
      </c>
      <c r="H17" s="2787">
        <v>1.0</v>
      </c>
      <c r="I17" s="2773">
        <f t="shared" si="2"/>
        <v>0.08347374029</v>
      </c>
      <c r="J17" s="1006"/>
      <c r="K17" s="2744"/>
      <c r="L17" s="2744"/>
      <c r="M17" s="2744"/>
      <c r="N17" s="2744"/>
      <c r="O17" s="2744"/>
      <c r="P17" s="2744"/>
      <c r="Q17" s="2744"/>
      <c r="R17" s="2744"/>
      <c r="S17" s="2744"/>
      <c r="T17" s="1006"/>
      <c r="U17" s="1006"/>
      <c r="V17" s="1006"/>
      <c r="W17" s="1006"/>
      <c r="X17" s="1006"/>
      <c r="Y17" s="1006"/>
      <c r="Z17" s="1006"/>
    </row>
    <row r="18">
      <c r="A18" s="2744"/>
      <c r="B18" s="1006"/>
      <c r="C18" s="2774">
        <v>3.0</v>
      </c>
      <c r="D18" s="2775" t="s">
        <v>1642</v>
      </c>
      <c r="E18" s="2776">
        <f>VLOOKUP(C18,BIMSA!$A$6:$AH$18,'Catálogo Bimsa'!$D$8,0)</f>
        <v>0.105878199</v>
      </c>
      <c r="F18" s="2777" t="s">
        <v>1643</v>
      </c>
      <c r="G18" s="2778">
        <f>+'Catálogo Bimsa'!E29</f>
        <v>0.15</v>
      </c>
      <c r="H18" s="2779">
        <v>1.0</v>
      </c>
      <c r="I18" s="2780">
        <f t="shared" ref="I18:I25" si="3">H18*G18*$E$18</f>
        <v>0.01588172985</v>
      </c>
      <c r="J18" s="1006"/>
      <c r="K18" s="2744"/>
      <c r="L18" s="2744"/>
      <c r="M18" s="2744"/>
      <c r="N18" s="2744"/>
      <c r="O18" s="2744"/>
      <c r="P18" s="2744"/>
      <c r="Q18" s="2744"/>
      <c r="R18" s="2744"/>
      <c r="S18" s="2744"/>
      <c r="T18" s="1006"/>
      <c r="U18" s="1006"/>
      <c r="V18" s="1006"/>
      <c r="W18" s="1006"/>
      <c r="X18" s="1006"/>
      <c r="Y18" s="1006"/>
      <c r="Z18" s="1006"/>
    </row>
    <row r="19">
      <c r="A19" s="2744"/>
      <c r="B19" s="1006"/>
      <c r="C19" s="2781"/>
      <c r="D19" s="2782"/>
      <c r="E19" s="2782"/>
      <c r="F19" s="2783" t="s">
        <v>1644</v>
      </c>
      <c r="G19" s="2784">
        <f>+'Catálogo Bimsa'!E30</f>
        <v>0.1</v>
      </c>
      <c r="H19" s="2785">
        <v>1.0</v>
      </c>
      <c r="I19" s="2786">
        <f t="shared" si="3"/>
        <v>0.0105878199</v>
      </c>
      <c r="J19" s="1006"/>
      <c r="K19" s="2744"/>
      <c r="L19" s="2744"/>
      <c r="M19" s="2744"/>
      <c r="N19" s="2744"/>
      <c r="O19" s="2744"/>
      <c r="P19" s="2744"/>
      <c r="Q19" s="2744"/>
      <c r="R19" s="2744"/>
      <c r="S19" s="2744"/>
      <c r="T19" s="1006"/>
      <c r="U19" s="1006"/>
      <c r="V19" s="1006"/>
      <c r="W19" s="1006"/>
      <c r="X19" s="1006"/>
      <c r="Y19" s="1006"/>
      <c r="Z19" s="1006"/>
    </row>
    <row r="20">
      <c r="A20" s="2744"/>
      <c r="B20" s="1006"/>
      <c r="C20" s="2781"/>
      <c r="D20" s="2782"/>
      <c r="E20" s="2782"/>
      <c r="F20" s="2783" t="s">
        <v>1645</v>
      </c>
      <c r="G20" s="2784">
        <f>+'Catálogo Bimsa'!E31</f>
        <v>0.2</v>
      </c>
      <c r="H20" s="2785">
        <v>1.0</v>
      </c>
      <c r="I20" s="2786">
        <f t="shared" si="3"/>
        <v>0.02117563981</v>
      </c>
      <c r="J20" s="1006"/>
      <c r="K20" s="2744"/>
      <c r="L20" s="2744"/>
      <c r="M20" s="2744"/>
      <c r="N20" s="2744"/>
      <c r="O20" s="2744"/>
      <c r="P20" s="2744"/>
      <c r="Q20" s="2744"/>
      <c r="R20" s="2744"/>
      <c r="S20" s="2744"/>
      <c r="T20" s="1006"/>
      <c r="U20" s="1006"/>
      <c r="V20" s="1006"/>
      <c r="W20" s="1006"/>
      <c r="X20" s="1006"/>
      <c r="Y20" s="1006"/>
      <c r="Z20" s="1006"/>
    </row>
    <row r="21">
      <c r="A21" s="2744"/>
      <c r="B21" s="1006"/>
      <c r="C21" s="2781"/>
      <c r="D21" s="2782"/>
      <c r="E21" s="2782"/>
      <c r="F21" s="2783" t="s">
        <v>1646</v>
      </c>
      <c r="G21" s="2784">
        <f>+'Catálogo Bimsa'!E32</f>
        <v>0.05</v>
      </c>
      <c r="H21" s="2785">
        <v>1.0</v>
      </c>
      <c r="I21" s="2786">
        <f t="shared" si="3"/>
        <v>0.005293909952</v>
      </c>
      <c r="J21" s="1006"/>
      <c r="K21" s="2744"/>
      <c r="L21" s="2744"/>
      <c r="M21" s="2744"/>
      <c r="N21" s="2744"/>
      <c r="O21" s="2744"/>
      <c r="P21" s="2744"/>
      <c r="Q21" s="2744"/>
      <c r="R21" s="2744"/>
      <c r="S21" s="2744"/>
      <c r="T21" s="1006"/>
      <c r="U21" s="1006"/>
      <c r="V21" s="1006"/>
      <c r="W21" s="1006"/>
      <c r="X21" s="1006"/>
      <c r="Y21" s="1006"/>
      <c r="Z21" s="1006"/>
    </row>
    <row r="22">
      <c r="A22" s="2744"/>
      <c r="B22" s="1006"/>
      <c r="C22" s="2781"/>
      <c r="D22" s="2782"/>
      <c r="E22" s="2782"/>
      <c r="F22" s="2783" t="s">
        <v>1647</v>
      </c>
      <c r="G22" s="2784">
        <f>+'Catálogo Bimsa'!E33</f>
        <v>0.18</v>
      </c>
      <c r="H22" s="2785">
        <v>1.0</v>
      </c>
      <c r="I22" s="2786">
        <f t="shared" si="3"/>
        <v>0.01905807583</v>
      </c>
      <c r="J22" s="1006"/>
      <c r="K22" s="2744"/>
      <c r="L22" s="2744"/>
      <c r="M22" s="2744"/>
      <c r="N22" s="2744"/>
      <c r="O22" s="2744"/>
      <c r="P22" s="2744"/>
      <c r="Q22" s="2744"/>
      <c r="R22" s="2744"/>
      <c r="S22" s="2744"/>
      <c r="T22" s="1006"/>
      <c r="U22" s="1006"/>
      <c r="V22" s="1006"/>
      <c r="W22" s="1006"/>
      <c r="X22" s="1006"/>
      <c r="Y22" s="1006"/>
      <c r="Z22" s="1006"/>
    </row>
    <row r="23">
      <c r="A23" s="2744"/>
      <c r="B23" s="1006"/>
      <c r="C23" s="2781"/>
      <c r="D23" s="2782"/>
      <c r="E23" s="2782"/>
      <c r="F23" s="2783" t="s">
        <v>1648</v>
      </c>
      <c r="G23" s="2784">
        <f>+'Catálogo Bimsa'!E34</f>
        <v>0.15</v>
      </c>
      <c r="H23" s="2788">
        <v>1.0</v>
      </c>
      <c r="I23" s="2786">
        <f t="shared" si="3"/>
        <v>0.01588172985</v>
      </c>
      <c r="J23" s="1006"/>
      <c r="K23" s="2744"/>
      <c r="L23" s="2744"/>
      <c r="M23" s="2744"/>
      <c r="N23" s="2744"/>
      <c r="O23" s="2744"/>
      <c r="P23" s="2744"/>
      <c r="Q23" s="2744"/>
      <c r="R23" s="2744"/>
      <c r="S23" s="2744"/>
      <c r="T23" s="1006"/>
      <c r="U23" s="1006"/>
      <c r="V23" s="1006"/>
      <c r="W23" s="1006"/>
      <c r="X23" s="1006"/>
      <c r="Y23" s="1006"/>
      <c r="Z23" s="1006"/>
    </row>
    <row r="24">
      <c r="A24" s="2744"/>
      <c r="B24" s="1006"/>
      <c r="C24" s="2781"/>
      <c r="D24" s="2782"/>
      <c r="E24" s="2782"/>
      <c r="F24" s="2783" t="s">
        <v>1649</v>
      </c>
      <c r="G24" s="2784">
        <f>+'Catálogo Bimsa'!E35</f>
        <v>0.05</v>
      </c>
      <c r="H24" s="2788">
        <v>1.0</v>
      </c>
      <c r="I24" s="2786">
        <f t="shared" si="3"/>
        <v>0.005293909952</v>
      </c>
      <c r="J24" s="1006"/>
      <c r="K24" s="2744"/>
      <c r="L24" s="2744"/>
      <c r="M24" s="2744"/>
      <c r="N24" s="2744"/>
      <c r="O24" s="2744"/>
      <c r="P24" s="2744"/>
      <c r="Q24" s="2744"/>
      <c r="R24" s="2744"/>
      <c r="S24" s="2744"/>
      <c r="T24" s="1006"/>
      <c r="U24" s="1006"/>
      <c r="V24" s="1006"/>
      <c r="W24" s="1006"/>
      <c r="X24" s="1006"/>
      <c r="Y24" s="1006"/>
      <c r="Z24" s="1006"/>
    </row>
    <row r="25">
      <c r="A25" s="2744"/>
      <c r="B25" s="1006"/>
      <c r="C25" s="2768"/>
      <c r="D25" s="2769"/>
      <c r="E25" s="2769"/>
      <c r="F25" s="2770" t="s">
        <v>1650</v>
      </c>
      <c r="G25" s="2771">
        <f>+'Catálogo Bimsa'!E36</f>
        <v>0.12</v>
      </c>
      <c r="H25" s="2772">
        <v>1.0</v>
      </c>
      <c r="I25" s="2773">
        <f t="shared" si="3"/>
        <v>0.01270538388</v>
      </c>
      <c r="J25" s="1006"/>
      <c r="K25" s="2744"/>
      <c r="L25" s="2744"/>
      <c r="M25" s="2744"/>
      <c r="N25" s="2744"/>
      <c r="O25" s="2744"/>
      <c r="P25" s="2744"/>
      <c r="Q25" s="2744"/>
      <c r="R25" s="2744"/>
      <c r="S25" s="2744"/>
      <c r="T25" s="1006"/>
      <c r="U25" s="1006"/>
      <c r="V25" s="1006"/>
      <c r="W25" s="1006"/>
      <c r="X25" s="1006"/>
      <c r="Y25" s="1006"/>
      <c r="Z25" s="1006"/>
    </row>
    <row r="26">
      <c r="A26" s="2744"/>
      <c r="B26" s="1006"/>
      <c r="C26" s="2789">
        <v>4.0</v>
      </c>
      <c r="D26" s="2790" t="s">
        <v>1651</v>
      </c>
      <c r="E26" s="2791">
        <f>VLOOKUP(C26,BIMSA!$A$6:$AH$18,'Catálogo Bimsa'!$D$8,0)</f>
        <v>0.03788664823</v>
      </c>
      <c r="F26" s="2790" t="s">
        <v>1652</v>
      </c>
      <c r="G26" s="2792">
        <v>1.0</v>
      </c>
      <c r="H26" s="2793">
        <v>1.0</v>
      </c>
      <c r="I26" s="2794">
        <f t="shared" ref="I26:I27" si="4">H26*G26*E26</f>
        <v>0.03788664823</v>
      </c>
      <c r="J26" s="1006"/>
      <c r="K26" s="2744"/>
      <c r="L26" s="2744"/>
      <c r="M26" s="2744"/>
      <c r="N26" s="2744"/>
      <c r="O26" s="2744"/>
      <c r="P26" s="2744"/>
      <c r="Q26" s="2744"/>
      <c r="R26" s="2744"/>
      <c r="S26" s="2744"/>
      <c r="T26" s="1006"/>
      <c r="U26" s="1006"/>
      <c r="V26" s="1006"/>
      <c r="W26" s="1006"/>
      <c r="X26" s="1006"/>
      <c r="Y26" s="1006"/>
      <c r="Z26" s="1006"/>
    </row>
    <row r="27">
      <c r="A27" s="2744"/>
      <c r="B27" s="1006"/>
      <c r="C27" s="2789">
        <v>5.0</v>
      </c>
      <c r="D27" s="2790" t="s">
        <v>1653</v>
      </c>
      <c r="E27" s="2791">
        <f>VLOOKUP(C27,BIMSA!$A$6:$AH$18,'Catálogo Bimsa'!$D$8,0)</f>
        <v>0.02079468271</v>
      </c>
      <c r="F27" s="2790" t="s">
        <v>1654</v>
      </c>
      <c r="G27" s="2792">
        <v>1.0</v>
      </c>
      <c r="H27" s="2793">
        <v>1.0</v>
      </c>
      <c r="I27" s="2794">
        <f t="shared" si="4"/>
        <v>0.02079468271</v>
      </c>
      <c r="J27" s="1006"/>
      <c r="K27" s="2744"/>
      <c r="L27" s="2744"/>
      <c r="M27" s="2744"/>
      <c r="N27" s="2744"/>
      <c r="O27" s="2744"/>
      <c r="P27" s="2744"/>
      <c r="Q27" s="2744"/>
      <c r="R27" s="2744"/>
      <c r="S27" s="2744"/>
      <c r="T27" s="1006"/>
      <c r="U27" s="1006"/>
      <c r="V27" s="1006"/>
      <c r="W27" s="1006"/>
      <c r="X27" s="1006"/>
      <c r="Y27" s="1006"/>
      <c r="Z27" s="1006"/>
    </row>
    <row r="28">
      <c r="A28" s="2744"/>
      <c r="B28" s="1006"/>
      <c r="C28" s="2774">
        <v>6.0</v>
      </c>
      <c r="D28" s="2775" t="s">
        <v>1655</v>
      </c>
      <c r="E28" s="2776">
        <f>VLOOKUP(C28,BIMSA!$A$6:$AH$18,'Catálogo Bimsa'!$D$8,0)</f>
        <v>0.02109511229</v>
      </c>
      <c r="F28" s="2777" t="s">
        <v>1656</v>
      </c>
      <c r="G28" s="2778">
        <v>0.3</v>
      </c>
      <c r="H28" s="2795">
        <v>1.0</v>
      </c>
      <c r="I28" s="2780">
        <f t="shared" ref="I28:I30" si="5">H28*G28*$E$28</f>
        <v>0.006328533687</v>
      </c>
      <c r="J28" s="1006"/>
      <c r="K28" s="2744"/>
      <c r="L28" s="2744"/>
      <c r="M28" s="2744"/>
      <c r="N28" s="2744"/>
      <c r="O28" s="2744"/>
      <c r="P28" s="2744"/>
      <c r="Q28" s="2744"/>
      <c r="R28" s="2744"/>
      <c r="S28" s="2744"/>
      <c r="T28" s="1006"/>
      <c r="U28" s="1006"/>
      <c r="V28" s="1006"/>
      <c r="W28" s="1006"/>
      <c r="X28" s="1006"/>
      <c r="Y28" s="1006"/>
      <c r="Z28" s="1006"/>
    </row>
    <row r="29">
      <c r="A29" s="2744"/>
      <c r="B29" s="1006"/>
      <c r="C29" s="2781"/>
      <c r="D29" s="2782"/>
      <c r="E29" s="2782"/>
      <c r="F29" s="2783" t="s">
        <v>1657</v>
      </c>
      <c r="G29" s="2784">
        <v>0.6</v>
      </c>
      <c r="H29" s="2788">
        <v>1.0</v>
      </c>
      <c r="I29" s="2786">
        <f t="shared" si="5"/>
        <v>0.01265706737</v>
      </c>
      <c r="J29" s="1006"/>
      <c r="K29" s="2744"/>
      <c r="L29" s="2744"/>
      <c r="M29" s="2744"/>
      <c r="N29" s="2744"/>
      <c r="O29" s="2744"/>
      <c r="P29" s="2744"/>
      <c r="Q29" s="2744"/>
      <c r="R29" s="2744"/>
      <c r="S29" s="2744"/>
      <c r="T29" s="1006"/>
      <c r="U29" s="1006"/>
      <c r="V29" s="1006"/>
      <c r="W29" s="1006"/>
      <c r="X29" s="1006"/>
      <c r="Y29" s="1006"/>
      <c r="Z29" s="1006"/>
    </row>
    <row r="30">
      <c r="A30" s="2744"/>
      <c r="B30" s="1006"/>
      <c r="C30" s="2768"/>
      <c r="D30" s="2769"/>
      <c r="E30" s="2769"/>
      <c r="F30" s="2770" t="s">
        <v>740</v>
      </c>
      <c r="G30" s="2771">
        <v>0.1</v>
      </c>
      <c r="H30" s="2772">
        <v>1.0</v>
      </c>
      <c r="I30" s="2773">
        <f t="shared" si="5"/>
        <v>0.002109511229</v>
      </c>
      <c r="J30" s="1006"/>
      <c r="K30" s="2744"/>
      <c r="L30" s="2744"/>
      <c r="M30" s="2744"/>
      <c r="N30" s="2744"/>
      <c r="O30" s="2744"/>
      <c r="P30" s="2744"/>
      <c r="Q30" s="2744"/>
      <c r="R30" s="2744"/>
      <c r="S30" s="2744"/>
      <c r="T30" s="1006"/>
      <c r="U30" s="1006"/>
      <c r="V30" s="1006"/>
      <c r="W30" s="1006"/>
      <c r="X30" s="1006"/>
      <c r="Y30" s="1006"/>
      <c r="Z30" s="1006"/>
    </row>
    <row r="31">
      <c r="A31" s="2744"/>
      <c r="B31" s="1006"/>
      <c r="C31" s="2789">
        <v>7.0</v>
      </c>
      <c r="D31" s="2790" t="s">
        <v>1658</v>
      </c>
      <c r="E31" s="2791">
        <f>VLOOKUP(C31,BIMSA!$A$6:$AH$18,'Catálogo Bimsa'!$D$8,0)</f>
        <v>0.005169247161</v>
      </c>
      <c r="F31" s="2796" t="s">
        <v>1659</v>
      </c>
      <c r="G31" s="2792">
        <v>1.0</v>
      </c>
      <c r="H31" s="2793">
        <v>1.0</v>
      </c>
      <c r="I31" s="2794">
        <f>H31*G31*E31</f>
        <v>0.005169247161</v>
      </c>
      <c r="J31" s="1006"/>
      <c r="K31" s="2744"/>
      <c r="L31" s="2744"/>
      <c r="M31" s="2744"/>
      <c r="N31" s="2744"/>
      <c r="O31" s="2744"/>
      <c r="P31" s="2744"/>
      <c r="Q31" s="2744"/>
      <c r="R31" s="2744"/>
      <c r="S31" s="2744"/>
      <c r="T31" s="1006"/>
      <c r="U31" s="1006"/>
      <c r="V31" s="1006"/>
      <c r="W31" s="1006"/>
      <c r="X31" s="1006"/>
      <c r="Y31" s="1006"/>
      <c r="Z31" s="1006"/>
    </row>
    <row r="32">
      <c r="A32" s="2744"/>
      <c r="B32" s="1006"/>
      <c r="C32" s="2774">
        <v>8.0</v>
      </c>
      <c r="D32" s="2775" t="s">
        <v>1660</v>
      </c>
      <c r="E32" s="2776">
        <f>VLOOKUP(C32,BIMSA!$A$6:$AH$18,'Catálogo Bimsa'!$D$8,0)</f>
        <v>0.230788767</v>
      </c>
      <c r="F32" s="2777" t="s">
        <v>1661</v>
      </c>
      <c r="G32" s="2778">
        <v>0.35</v>
      </c>
      <c r="H32" s="2795">
        <v>1.0</v>
      </c>
      <c r="I32" s="2780">
        <f t="shared" ref="I32:I35" si="6">H32*G32*$E$32</f>
        <v>0.08077606846</v>
      </c>
      <c r="J32" s="1006"/>
      <c r="K32" s="2744"/>
      <c r="L32" s="2744"/>
      <c r="M32" s="2744"/>
      <c r="N32" s="2744"/>
      <c r="O32" s="2744"/>
      <c r="P32" s="2744"/>
      <c r="Q32" s="2744"/>
      <c r="R32" s="2744"/>
      <c r="S32" s="2744"/>
      <c r="T32" s="1006"/>
      <c r="U32" s="1006"/>
      <c r="V32" s="1006"/>
      <c r="W32" s="1006"/>
      <c r="X32" s="1006"/>
      <c r="Y32" s="1006"/>
      <c r="Z32" s="1006"/>
    </row>
    <row r="33">
      <c r="A33" s="2744"/>
      <c r="B33" s="1006"/>
      <c r="C33" s="2781"/>
      <c r="D33" s="2782"/>
      <c r="E33" s="2782"/>
      <c r="F33" s="2783" t="s">
        <v>1662</v>
      </c>
      <c r="G33" s="2784">
        <v>0.15</v>
      </c>
      <c r="H33" s="2788">
        <v>1.0</v>
      </c>
      <c r="I33" s="2786">
        <f t="shared" si="6"/>
        <v>0.03461831505</v>
      </c>
      <c r="J33" s="1006"/>
      <c r="K33" s="2744"/>
      <c r="L33" s="2744"/>
      <c r="M33" s="2744"/>
      <c r="N33" s="2744"/>
      <c r="O33" s="2744"/>
      <c r="P33" s="2744"/>
      <c r="Q33" s="2744"/>
      <c r="R33" s="2744"/>
      <c r="S33" s="2744"/>
      <c r="T33" s="1006"/>
      <c r="U33" s="1006"/>
      <c r="V33" s="1006"/>
      <c r="W33" s="1006"/>
      <c r="X33" s="1006"/>
      <c r="Y33" s="1006"/>
      <c r="Z33" s="1006"/>
    </row>
    <row r="34">
      <c r="A34" s="2744"/>
      <c r="B34" s="1006"/>
      <c r="C34" s="2781"/>
      <c r="D34" s="2782"/>
      <c r="E34" s="2782"/>
      <c r="F34" s="2783" t="s">
        <v>1663</v>
      </c>
      <c r="G34" s="2784">
        <v>0.2</v>
      </c>
      <c r="H34" s="2788">
        <v>1.0</v>
      </c>
      <c r="I34" s="2786">
        <f t="shared" si="6"/>
        <v>0.04615775341</v>
      </c>
      <c r="J34" s="1006"/>
      <c r="K34" s="2744"/>
      <c r="L34" s="2744"/>
      <c r="M34" s="2744"/>
      <c r="N34" s="2744"/>
      <c r="O34" s="2744"/>
      <c r="P34" s="2744"/>
      <c r="Q34" s="2744"/>
      <c r="R34" s="2744"/>
      <c r="S34" s="2744"/>
      <c r="T34" s="1006"/>
      <c r="U34" s="1006"/>
      <c r="V34" s="1006"/>
      <c r="W34" s="1006"/>
      <c r="X34" s="1006"/>
      <c r="Y34" s="1006"/>
      <c r="Z34" s="1006"/>
    </row>
    <row r="35">
      <c r="A35" s="2744"/>
      <c r="B35" s="1006"/>
      <c r="C35" s="2768"/>
      <c r="D35" s="2769"/>
      <c r="E35" s="2769"/>
      <c r="F35" s="2770" t="s">
        <v>1664</v>
      </c>
      <c r="G35" s="2771">
        <v>0.3</v>
      </c>
      <c r="H35" s="2772">
        <v>1.0</v>
      </c>
      <c r="I35" s="2773">
        <f t="shared" si="6"/>
        <v>0.06923663011</v>
      </c>
      <c r="J35" s="1006"/>
      <c r="K35" s="2744"/>
      <c r="L35" s="2744"/>
      <c r="M35" s="2744"/>
      <c r="N35" s="2744"/>
      <c r="O35" s="2744"/>
      <c r="P35" s="2744"/>
      <c r="Q35" s="2744"/>
      <c r="R35" s="2744"/>
      <c r="S35" s="2744"/>
      <c r="T35" s="1006"/>
      <c r="U35" s="1006"/>
      <c r="V35" s="1006"/>
      <c r="W35" s="1006"/>
      <c r="X35" s="1006"/>
      <c r="Y35" s="1006"/>
      <c r="Z35" s="1006"/>
    </row>
    <row r="36">
      <c r="A36" s="2744"/>
      <c r="B36" s="1006"/>
      <c r="C36" s="2774">
        <v>9.0</v>
      </c>
      <c r="D36" s="2775" t="s">
        <v>1665</v>
      </c>
      <c r="E36" s="2776">
        <f>VLOOKUP(C36,BIMSA!$A$6:$AH$18,'Catálogo Bimsa'!$D$8,0)</f>
        <v>0.08861743545</v>
      </c>
      <c r="F36" s="2777" t="s">
        <v>1666</v>
      </c>
      <c r="G36" s="2778">
        <v>0.5</v>
      </c>
      <c r="H36" s="2795">
        <v>1.0</v>
      </c>
      <c r="I36" s="2780">
        <f t="shared" ref="I36:I38" si="7">H36*G36*$E$36</f>
        <v>0.04430871772</v>
      </c>
      <c r="J36" s="1006"/>
      <c r="K36" s="2744"/>
      <c r="L36" s="2744"/>
      <c r="M36" s="2744"/>
      <c r="N36" s="2744"/>
      <c r="O36" s="2744"/>
      <c r="P36" s="2744"/>
      <c r="Q36" s="2744"/>
      <c r="R36" s="2744"/>
      <c r="S36" s="2744"/>
      <c r="T36" s="1006"/>
      <c r="U36" s="1006"/>
      <c r="V36" s="1006"/>
      <c r="W36" s="1006"/>
      <c r="X36" s="1006"/>
      <c r="Y36" s="1006"/>
      <c r="Z36" s="1006"/>
    </row>
    <row r="37">
      <c r="A37" s="2744"/>
      <c r="B37" s="1006"/>
      <c r="C37" s="2781"/>
      <c r="D37" s="2782"/>
      <c r="E37" s="2782"/>
      <c r="F37" s="2783" t="s">
        <v>1667</v>
      </c>
      <c r="G37" s="2784">
        <v>0.3</v>
      </c>
      <c r="H37" s="2788">
        <v>1.0</v>
      </c>
      <c r="I37" s="2786">
        <f t="shared" si="7"/>
        <v>0.02658523063</v>
      </c>
      <c r="J37" s="1006"/>
      <c r="K37" s="2744"/>
      <c r="L37" s="2744"/>
      <c r="M37" s="2744"/>
      <c r="N37" s="2744"/>
      <c r="O37" s="2744"/>
      <c r="P37" s="2744"/>
      <c r="Q37" s="2744"/>
      <c r="R37" s="2744"/>
      <c r="S37" s="2744"/>
      <c r="T37" s="1006"/>
      <c r="U37" s="1006"/>
      <c r="V37" s="1006"/>
      <c r="W37" s="1006"/>
      <c r="X37" s="1006"/>
      <c r="Y37" s="1006"/>
      <c r="Z37" s="1006"/>
    </row>
    <row r="38">
      <c r="A38" s="2744"/>
      <c r="B38" s="1006"/>
      <c r="C38" s="2768"/>
      <c r="D38" s="2769"/>
      <c r="E38" s="2769"/>
      <c r="F38" s="2770" t="s">
        <v>1668</v>
      </c>
      <c r="G38" s="2771">
        <v>0.2</v>
      </c>
      <c r="H38" s="2772">
        <v>1.0</v>
      </c>
      <c r="I38" s="2773">
        <f t="shared" si="7"/>
        <v>0.01772348709</v>
      </c>
      <c r="J38" s="1006"/>
      <c r="K38" s="2744"/>
      <c r="L38" s="2744"/>
      <c r="M38" s="2744"/>
      <c r="N38" s="2744"/>
      <c r="O38" s="2744"/>
      <c r="P38" s="2744"/>
      <c r="Q38" s="2744"/>
      <c r="R38" s="2744"/>
      <c r="S38" s="2744"/>
      <c r="T38" s="1006"/>
      <c r="U38" s="1006"/>
      <c r="V38" s="1006"/>
      <c r="W38" s="1006"/>
      <c r="X38" s="1006"/>
      <c r="Y38" s="1006"/>
      <c r="Z38" s="1006"/>
    </row>
    <row r="39">
      <c r="A39" s="2744"/>
      <c r="B39" s="1006"/>
      <c r="C39" s="2774">
        <v>10.0</v>
      </c>
      <c r="D39" s="2775" t="s">
        <v>1669</v>
      </c>
      <c r="E39" s="2776">
        <f>VLOOKUP(C39,BIMSA!$A$6:$AH$18,'Catálogo Bimsa'!$D$8,0)</f>
        <v>0.02873283757</v>
      </c>
      <c r="F39" s="2777" t="s">
        <v>1670</v>
      </c>
      <c r="G39" s="2778">
        <v>0.15</v>
      </c>
      <c r="H39" s="2795">
        <v>1.0</v>
      </c>
      <c r="I39" s="2780">
        <f t="shared" ref="I39:I41" si="8">H39*G39*$E$39</f>
        <v>0.004309925636</v>
      </c>
      <c r="J39" s="1006"/>
      <c r="K39" s="2744"/>
      <c r="L39" s="2744"/>
      <c r="M39" s="2744"/>
      <c r="N39" s="2744"/>
      <c r="O39" s="2744"/>
      <c r="P39" s="2744"/>
      <c r="Q39" s="2744"/>
      <c r="R39" s="2744"/>
      <c r="S39" s="2744"/>
      <c r="T39" s="1006"/>
      <c r="U39" s="1006"/>
      <c r="V39" s="1006"/>
      <c r="W39" s="1006"/>
      <c r="X39" s="1006"/>
      <c r="Y39" s="1006"/>
      <c r="Z39" s="1006"/>
    </row>
    <row r="40">
      <c r="A40" s="2744"/>
      <c r="B40" s="1006"/>
      <c r="C40" s="2781"/>
      <c r="D40" s="2782"/>
      <c r="E40" s="2782"/>
      <c r="F40" s="2783" t="s">
        <v>1671</v>
      </c>
      <c r="G40" s="2784">
        <v>0.75</v>
      </c>
      <c r="H40" s="2788">
        <v>1.0</v>
      </c>
      <c r="I40" s="2786">
        <f t="shared" si="8"/>
        <v>0.02154962818</v>
      </c>
      <c r="J40" s="1006"/>
      <c r="K40" s="2744"/>
      <c r="L40" s="2744"/>
      <c r="M40" s="2744"/>
      <c r="N40" s="2744"/>
      <c r="O40" s="2744"/>
      <c r="P40" s="2744"/>
      <c r="Q40" s="2744"/>
      <c r="R40" s="2744"/>
      <c r="S40" s="2744"/>
      <c r="T40" s="1006"/>
      <c r="U40" s="1006"/>
      <c r="V40" s="1006"/>
      <c r="W40" s="1006"/>
      <c r="X40" s="1006"/>
      <c r="Y40" s="1006"/>
      <c r="Z40" s="1006"/>
    </row>
    <row r="41">
      <c r="A41" s="2744"/>
      <c r="B41" s="1006"/>
      <c r="C41" s="2768"/>
      <c r="D41" s="2769"/>
      <c r="E41" s="2769"/>
      <c r="F41" s="2770" t="s">
        <v>1672</v>
      </c>
      <c r="G41" s="2771">
        <v>0.1</v>
      </c>
      <c r="H41" s="2772">
        <v>1.0</v>
      </c>
      <c r="I41" s="2773">
        <f t="shared" si="8"/>
        <v>0.002873283757</v>
      </c>
      <c r="J41" s="1006"/>
      <c r="K41" s="2744"/>
      <c r="L41" s="2744"/>
      <c r="M41" s="2744"/>
      <c r="N41" s="2744"/>
      <c r="O41" s="2744"/>
      <c r="P41" s="2744"/>
      <c r="Q41" s="2744"/>
      <c r="R41" s="2744"/>
      <c r="S41" s="2744"/>
      <c r="T41" s="1006"/>
      <c r="U41" s="1006"/>
      <c r="V41" s="1006"/>
      <c r="W41" s="1006"/>
      <c r="X41" s="1006"/>
      <c r="Y41" s="1006"/>
      <c r="Z41" s="1006"/>
    </row>
    <row r="42">
      <c r="A42" s="2744"/>
      <c r="B42" s="1006"/>
      <c r="C42" s="2774">
        <v>11.0</v>
      </c>
      <c r="D42" s="2775" t="s">
        <v>1673</v>
      </c>
      <c r="E42" s="2776">
        <f>VLOOKUP(C42,BIMSA!$A$6:$AH$18,'Catálogo Bimsa'!$D$8,0)</f>
        <v>0.03593695315</v>
      </c>
      <c r="F42" s="2777" t="s">
        <v>1670</v>
      </c>
      <c r="G42" s="2778">
        <v>0.15</v>
      </c>
      <c r="H42" s="2795">
        <v>1.0</v>
      </c>
      <c r="I42" s="2780">
        <f t="shared" ref="I42:I45" si="9">H42*G42*$E$42</f>
        <v>0.005390542972</v>
      </c>
      <c r="J42" s="1006"/>
      <c r="K42" s="2744"/>
      <c r="L42" s="2744"/>
      <c r="M42" s="2744"/>
      <c r="N42" s="2744"/>
      <c r="O42" s="2744"/>
      <c r="P42" s="2744"/>
      <c r="Q42" s="2744"/>
      <c r="R42" s="2744"/>
      <c r="S42" s="2744"/>
      <c r="T42" s="1006"/>
      <c r="U42" s="1006"/>
      <c r="V42" s="1006"/>
      <c r="W42" s="1006"/>
      <c r="X42" s="1006"/>
      <c r="Y42" s="1006"/>
      <c r="Z42" s="1006"/>
    </row>
    <row r="43">
      <c r="A43" s="2744"/>
      <c r="B43" s="1006"/>
      <c r="C43" s="2781"/>
      <c r="D43" s="2782"/>
      <c r="E43" s="2782"/>
      <c r="F43" s="2783" t="s">
        <v>1674</v>
      </c>
      <c r="G43" s="2784">
        <v>0.5</v>
      </c>
      <c r="H43" s="2788">
        <v>1.0</v>
      </c>
      <c r="I43" s="2786">
        <f t="shared" si="9"/>
        <v>0.01796847657</v>
      </c>
      <c r="J43" s="1006"/>
      <c r="K43" s="2744"/>
      <c r="L43" s="2744"/>
      <c r="M43" s="2744"/>
      <c r="N43" s="2744"/>
      <c r="O43" s="2744"/>
      <c r="P43" s="2744"/>
      <c r="Q43" s="2744"/>
      <c r="R43" s="2744"/>
      <c r="S43" s="2744"/>
      <c r="T43" s="1006"/>
      <c r="U43" s="1006"/>
      <c r="V43" s="1006"/>
      <c r="W43" s="1006"/>
      <c r="X43" s="1006"/>
      <c r="Y43" s="1006"/>
      <c r="Z43" s="1006"/>
    </row>
    <row r="44">
      <c r="A44" s="2744"/>
      <c r="B44" s="1006"/>
      <c r="C44" s="2781"/>
      <c r="D44" s="2782"/>
      <c r="E44" s="2782"/>
      <c r="F44" s="2783" t="s">
        <v>1675</v>
      </c>
      <c r="G44" s="2784">
        <v>0.3</v>
      </c>
      <c r="H44" s="2788">
        <v>1.0</v>
      </c>
      <c r="I44" s="2786">
        <f t="shared" si="9"/>
        <v>0.01078108594</v>
      </c>
      <c r="J44" s="1006"/>
      <c r="K44" s="2744"/>
      <c r="L44" s="2744"/>
      <c r="M44" s="2744"/>
      <c r="N44" s="2744"/>
      <c r="O44" s="2744"/>
      <c r="P44" s="2744"/>
      <c r="Q44" s="2744"/>
      <c r="R44" s="2744"/>
      <c r="S44" s="2744"/>
      <c r="T44" s="1006"/>
      <c r="U44" s="1006"/>
      <c r="V44" s="1006"/>
      <c r="W44" s="1006"/>
      <c r="X44" s="1006"/>
      <c r="Y44" s="1006"/>
      <c r="Z44" s="1006"/>
    </row>
    <row r="45">
      <c r="A45" s="2744"/>
      <c r="B45" s="1006"/>
      <c r="C45" s="2768"/>
      <c r="D45" s="2769"/>
      <c r="E45" s="2769"/>
      <c r="F45" s="2770" t="s">
        <v>1676</v>
      </c>
      <c r="G45" s="2771">
        <v>0.05</v>
      </c>
      <c r="H45" s="2772">
        <v>1.0</v>
      </c>
      <c r="I45" s="2773">
        <f t="shared" si="9"/>
        <v>0.001796847657</v>
      </c>
      <c r="J45" s="1006"/>
      <c r="K45" s="2744"/>
      <c r="L45" s="2744"/>
      <c r="M45" s="2744"/>
      <c r="N45" s="2744"/>
      <c r="O45" s="2744"/>
      <c r="P45" s="2744"/>
      <c r="Q45" s="2744"/>
      <c r="R45" s="2744"/>
      <c r="S45" s="2744"/>
      <c r="T45" s="1006"/>
      <c r="U45" s="1006"/>
      <c r="V45" s="1006"/>
      <c r="W45" s="1006"/>
      <c r="X45" s="1006"/>
      <c r="Y45" s="1006"/>
      <c r="Z45" s="1006"/>
    </row>
    <row r="46">
      <c r="A46" s="2744"/>
      <c r="B46" s="1006"/>
      <c r="C46" s="2774">
        <v>12.0</v>
      </c>
      <c r="D46" s="2775" t="s">
        <v>1677</v>
      </c>
      <c r="E46" s="2776">
        <f>VLOOKUP(C46,BIMSA!$A$6:$AH$18,'Catálogo Bimsa'!$D$8,0)</f>
        <v>0.091296524</v>
      </c>
      <c r="F46" s="2797" t="s">
        <v>1678</v>
      </c>
      <c r="G46" s="2778">
        <v>0.25</v>
      </c>
      <c r="H46" s="2795">
        <v>1.0</v>
      </c>
      <c r="I46" s="2780">
        <f t="shared" ref="I46:I50" si="10">H46*G46*$E$46</f>
        <v>0.022824131</v>
      </c>
      <c r="J46" s="1006"/>
      <c r="K46" s="2744"/>
      <c r="L46" s="2744"/>
      <c r="M46" s="2744"/>
      <c r="N46" s="2744"/>
      <c r="O46" s="2744"/>
      <c r="P46" s="2744"/>
      <c r="Q46" s="2744"/>
      <c r="R46" s="2744"/>
      <c r="S46" s="2744"/>
      <c r="T46" s="1006"/>
      <c r="U46" s="1006"/>
      <c r="V46" s="1006"/>
      <c r="W46" s="1006"/>
      <c r="X46" s="1006"/>
      <c r="Y46" s="1006"/>
      <c r="Z46" s="1006"/>
    </row>
    <row r="47">
      <c r="A47" s="2744"/>
      <c r="B47" s="1006"/>
      <c r="C47" s="2781"/>
      <c r="D47" s="2782"/>
      <c r="E47" s="2782"/>
      <c r="F47" s="2798" t="s">
        <v>1679</v>
      </c>
      <c r="G47" s="2784">
        <v>0.15</v>
      </c>
      <c r="H47" s="2788">
        <v>1.0</v>
      </c>
      <c r="I47" s="2786">
        <f t="shared" si="10"/>
        <v>0.0136944786</v>
      </c>
      <c r="J47" s="1006"/>
      <c r="K47" s="2744"/>
      <c r="L47" s="2744"/>
      <c r="M47" s="2744"/>
      <c r="N47" s="2744"/>
      <c r="O47" s="2744"/>
      <c r="P47" s="2744"/>
      <c r="Q47" s="2744"/>
      <c r="R47" s="2744"/>
      <c r="S47" s="2744"/>
      <c r="T47" s="1006"/>
      <c r="U47" s="1006"/>
      <c r="V47" s="1006"/>
      <c r="W47" s="1006"/>
      <c r="X47" s="1006"/>
      <c r="Y47" s="1006"/>
      <c r="Z47" s="1006"/>
    </row>
    <row r="48">
      <c r="A48" s="2744"/>
      <c r="B48" s="1006"/>
      <c r="C48" s="2781"/>
      <c r="D48" s="2782"/>
      <c r="E48" s="2782"/>
      <c r="F48" s="2798" t="s">
        <v>1680</v>
      </c>
      <c r="G48" s="2784">
        <v>0.1</v>
      </c>
      <c r="H48" s="2788">
        <v>1.0</v>
      </c>
      <c r="I48" s="2786">
        <f t="shared" si="10"/>
        <v>0.0091296524</v>
      </c>
      <c r="J48" s="1006"/>
      <c r="K48" s="2744"/>
      <c r="L48" s="2744"/>
      <c r="M48" s="2744"/>
      <c r="N48" s="2744"/>
      <c r="O48" s="2744"/>
      <c r="P48" s="2744"/>
      <c r="Q48" s="2744"/>
      <c r="R48" s="2744"/>
      <c r="S48" s="2744"/>
      <c r="T48" s="1006"/>
      <c r="U48" s="1006"/>
      <c r="V48" s="1006"/>
      <c r="W48" s="1006"/>
      <c r="X48" s="1006"/>
      <c r="Y48" s="1006"/>
      <c r="Z48" s="1006"/>
    </row>
    <row r="49">
      <c r="A49" s="2744"/>
      <c r="B49" s="1006"/>
      <c r="C49" s="2781"/>
      <c r="D49" s="2782"/>
      <c r="E49" s="2782"/>
      <c r="F49" s="2798" t="s">
        <v>1681</v>
      </c>
      <c r="G49" s="2784">
        <v>0.3</v>
      </c>
      <c r="H49" s="2788">
        <v>1.0</v>
      </c>
      <c r="I49" s="2786">
        <f t="shared" si="10"/>
        <v>0.0273889572</v>
      </c>
      <c r="J49" s="1006"/>
      <c r="K49" s="2744"/>
      <c r="L49" s="2744"/>
      <c r="M49" s="2744"/>
      <c r="N49" s="2744"/>
      <c r="O49" s="2744"/>
      <c r="P49" s="2744"/>
      <c r="Q49" s="2744"/>
      <c r="R49" s="2744"/>
      <c r="S49" s="2744"/>
      <c r="T49" s="1006"/>
      <c r="U49" s="1006"/>
      <c r="V49" s="1006"/>
      <c r="W49" s="1006"/>
      <c r="X49" s="1006"/>
      <c r="Y49" s="1006"/>
      <c r="Z49" s="1006"/>
    </row>
    <row r="50">
      <c r="A50" s="2744"/>
      <c r="B50" s="1006"/>
      <c r="C50" s="2768"/>
      <c r="D50" s="2769"/>
      <c r="E50" s="2769"/>
      <c r="F50" s="2799" t="s">
        <v>1682</v>
      </c>
      <c r="G50" s="2771">
        <v>0.2</v>
      </c>
      <c r="H50" s="2772">
        <v>1.0</v>
      </c>
      <c r="I50" s="2773">
        <f t="shared" si="10"/>
        <v>0.0182593048</v>
      </c>
      <c r="J50" s="1006"/>
      <c r="K50" s="2744"/>
      <c r="L50" s="2744"/>
      <c r="M50" s="2744"/>
      <c r="N50" s="2744"/>
      <c r="O50" s="2744"/>
      <c r="P50" s="2744"/>
      <c r="Q50" s="2744"/>
      <c r="R50" s="2744"/>
      <c r="S50" s="2744"/>
      <c r="T50" s="1006"/>
      <c r="U50" s="1006"/>
      <c r="V50" s="1006"/>
      <c r="W50" s="1006"/>
      <c r="X50" s="1006"/>
      <c r="Y50" s="1006"/>
      <c r="Z50" s="1006"/>
    </row>
    <row r="51">
      <c r="A51" s="2744"/>
      <c r="B51" s="1006"/>
      <c r="C51" s="2789">
        <v>13.0</v>
      </c>
      <c r="D51" s="2790" t="s">
        <v>1683</v>
      </c>
      <c r="E51" s="2791">
        <f>VLOOKUP(C51,BIMSA!$A$6:$AH$18,'Catálogo Bimsa'!$D$8,0)</f>
        <v>0.05198670677</v>
      </c>
      <c r="F51" s="2796" t="s">
        <v>506</v>
      </c>
      <c r="G51" s="2792">
        <v>1.0</v>
      </c>
      <c r="H51" s="2793">
        <v>1.0</v>
      </c>
      <c r="I51" s="2794">
        <f t="shared" ref="I51:I52" si="11">H51*G51*E51</f>
        <v>0.05198670677</v>
      </c>
      <c r="J51" s="1006"/>
      <c r="K51" s="2744"/>
      <c r="L51" s="2744"/>
      <c r="M51" s="2744"/>
      <c r="N51" s="2744"/>
      <c r="O51" s="2744"/>
      <c r="P51" s="2744"/>
      <c r="Q51" s="2744"/>
      <c r="R51" s="2744"/>
      <c r="S51" s="2744"/>
      <c r="T51" s="1006"/>
      <c r="U51" s="1006"/>
      <c r="V51" s="1006"/>
      <c r="W51" s="1006"/>
      <c r="X51" s="1006"/>
      <c r="Y51" s="1006"/>
      <c r="Z51" s="1006"/>
    </row>
    <row r="52">
      <c r="A52" s="2744"/>
      <c r="B52" s="1006"/>
      <c r="C52" s="2800">
        <v>14.0</v>
      </c>
      <c r="D52" s="2801" t="s">
        <v>1684</v>
      </c>
      <c r="E52" s="2802">
        <f>VLOOKUP(C52,BIMSA!$A$6:$AH$19,'Catálogo Bimsa'!$D$8,0)</f>
        <v>0</v>
      </c>
      <c r="F52" s="2803" t="s">
        <v>1685</v>
      </c>
      <c r="G52" s="2804">
        <v>1.0</v>
      </c>
      <c r="H52" s="2805">
        <v>1.0</v>
      </c>
      <c r="I52" s="2806">
        <f t="shared" si="11"/>
        <v>0</v>
      </c>
      <c r="J52" s="1006"/>
      <c r="K52" s="2744"/>
      <c r="L52" s="2744"/>
      <c r="M52" s="2744"/>
      <c r="N52" s="2744"/>
      <c r="O52" s="2744"/>
      <c r="P52" s="2744"/>
      <c r="Q52" s="2744"/>
      <c r="R52" s="2744"/>
      <c r="S52" s="2744"/>
      <c r="T52" s="1006"/>
      <c r="U52" s="1006"/>
      <c r="V52" s="1006"/>
      <c r="W52" s="1006"/>
      <c r="X52" s="1006"/>
      <c r="Y52" s="1006"/>
      <c r="Z52" s="1006"/>
    </row>
    <row r="53">
      <c r="A53" s="2744"/>
      <c r="B53" s="1006"/>
      <c r="C53" s="1006"/>
      <c r="D53" s="2807" t="s">
        <v>1686</v>
      </c>
      <c r="E53" s="2808">
        <f>SUM(E13:E52)</f>
        <v>1</v>
      </c>
      <c r="F53" s="2809"/>
      <c r="G53" s="2810"/>
      <c r="H53" s="2811"/>
      <c r="I53" s="2812">
        <f>SUM(I13:I52)</f>
        <v>1</v>
      </c>
      <c r="J53" s="1006"/>
      <c r="K53" s="2744"/>
      <c r="L53" s="2744"/>
      <c r="M53" s="2744"/>
      <c r="N53" s="2744"/>
      <c r="O53" s="2744"/>
      <c r="P53" s="2744"/>
      <c r="Q53" s="2744"/>
      <c r="R53" s="2744"/>
      <c r="S53" s="2744"/>
      <c r="T53" s="1006"/>
      <c r="U53" s="1006"/>
      <c r="V53" s="1006"/>
      <c r="W53" s="1006"/>
      <c r="X53" s="1006"/>
      <c r="Y53" s="1006"/>
      <c r="Z53" s="1006"/>
    </row>
    <row r="54">
      <c r="A54" s="2744"/>
      <c r="B54" s="1006"/>
      <c r="C54" s="1006"/>
      <c r="D54" s="1006"/>
      <c r="E54" s="1006"/>
      <c r="F54" s="1006"/>
      <c r="G54" s="1006"/>
      <c r="H54" s="1006"/>
      <c r="I54" s="2749"/>
      <c r="J54" s="1006"/>
      <c r="K54" s="2744"/>
      <c r="L54" s="2744"/>
      <c r="M54" s="2744"/>
      <c r="N54" s="2744"/>
      <c r="O54" s="2744"/>
      <c r="P54" s="2744"/>
      <c r="Q54" s="2744"/>
      <c r="R54" s="2744"/>
      <c r="S54" s="2744"/>
      <c r="T54" s="1006"/>
      <c r="U54" s="1006"/>
      <c r="V54" s="1006"/>
      <c r="W54" s="1006"/>
      <c r="X54" s="1006"/>
      <c r="Y54" s="1006"/>
      <c r="Z54" s="1006"/>
    </row>
    <row r="55" ht="8.25" customHeight="1">
      <c r="A55" s="2744"/>
      <c r="B55" s="2744"/>
      <c r="C55" s="2744"/>
      <c r="D55" s="2744"/>
      <c r="E55" s="2744"/>
      <c r="F55" s="2744"/>
      <c r="G55" s="2744"/>
      <c r="H55" s="2744"/>
      <c r="I55" s="2744"/>
      <c r="J55" s="2744"/>
      <c r="K55" s="2744"/>
      <c r="L55" s="2744"/>
      <c r="M55" s="2744"/>
      <c r="N55" s="2744"/>
      <c r="O55" s="2744"/>
      <c r="P55" s="2744"/>
      <c r="Q55" s="2744"/>
      <c r="R55" s="2744"/>
      <c r="S55" s="2744"/>
      <c r="T55" s="1006"/>
      <c r="U55" s="1006"/>
      <c r="V55" s="1006"/>
      <c r="W55" s="1006"/>
      <c r="X55" s="1006"/>
      <c r="Y55" s="1006"/>
      <c r="Z55" s="1006"/>
    </row>
    <row r="56">
      <c r="A56" s="2744"/>
      <c r="B56" s="2744"/>
      <c r="C56" s="2744"/>
      <c r="D56" s="2744"/>
      <c r="E56" s="2744"/>
      <c r="F56" s="2744"/>
      <c r="G56" s="2744"/>
      <c r="H56" s="2744"/>
      <c r="I56" s="2745"/>
      <c r="J56" s="2744"/>
      <c r="K56" s="2744"/>
      <c r="L56" s="2744"/>
      <c r="M56" s="2744"/>
      <c r="N56" s="2744"/>
      <c r="O56" s="2744"/>
      <c r="P56" s="2744"/>
      <c r="Q56" s="2744"/>
      <c r="R56" s="2744"/>
      <c r="S56" s="2744"/>
      <c r="T56" s="1006"/>
      <c r="U56" s="1006"/>
      <c r="V56" s="1006"/>
      <c r="W56" s="1006"/>
      <c r="X56" s="1006"/>
      <c r="Y56" s="1006"/>
      <c r="Z56" s="1006"/>
    </row>
    <row r="57">
      <c r="A57" s="2744"/>
      <c r="B57" s="2744"/>
      <c r="C57" s="2744"/>
      <c r="D57" s="2744"/>
      <c r="E57" s="2744"/>
      <c r="F57" s="2744"/>
      <c r="G57" s="2744"/>
      <c r="H57" s="2744"/>
      <c r="I57" s="2745"/>
      <c r="J57" s="2744"/>
      <c r="K57" s="2744"/>
      <c r="L57" s="2744"/>
      <c r="M57" s="2744"/>
      <c r="N57" s="2744"/>
      <c r="O57" s="2744"/>
      <c r="P57" s="2744"/>
      <c r="Q57" s="2744"/>
      <c r="R57" s="2744"/>
      <c r="S57" s="2744"/>
      <c r="T57" s="1006"/>
      <c r="U57" s="1006"/>
      <c r="V57" s="1006"/>
      <c r="W57" s="1006"/>
      <c r="X57" s="1006"/>
      <c r="Y57" s="1006"/>
      <c r="Z57" s="1006"/>
    </row>
    <row r="58">
      <c r="A58" s="2744"/>
      <c r="B58" s="2744"/>
      <c r="C58" s="2744"/>
      <c r="D58" s="2744"/>
      <c r="E58" s="2744"/>
      <c r="F58" s="2744"/>
      <c r="G58" s="2744"/>
      <c r="H58" s="2744"/>
      <c r="I58" s="2745"/>
      <c r="J58" s="2744"/>
      <c r="K58" s="2744"/>
      <c r="L58" s="2744"/>
      <c r="M58" s="2744"/>
      <c r="N58" s="2744"/>
      <c r="O58" s="2744"/>
      <c r="P58" s="2744"/>
      <c r="Q58" s="2744"/>
      <c r="R58" s="2744"/>
      <c r="S58" s="2744"/>
      <c r="T58" s="1006"/>
      <c r="U58" s="1006"/>
      <c r="V58" s="1006"/>
      <c r="W58" s="1006"/>
      <c r="X58" s="1006"/>
      <c r="Y58" s="1006"/>
      <c r="Z58" s="1006"/>
    </row>
    <row r="59">
      <c r="A59" s="2744"/>
      <c r="B59" s="2744"/>
      <c r="C59" s="2744"/>
      <c r="D59" s="2744"/>
      <c r="E59" s="2744"/>
      <c r="F59" s="2744"/>
      <c r="G59" s="2744"/>
      <c r="H59" s="2744"/>
      <c r="I59" s="2745"/>
      <c r="J59" s="2744"/>
      <c r="K59" s="2744"/>
      <c r="L59" s="2744"/>
      <c r="M59" s="2744"/>
      <c r="N59" s="2744"/>
      <c r="O59" s="2744"/>
      <c r="P59" s="2744"/>
      <c r="Q59" s="2744"/>
      <c r="R59" s="2744"/>
      <c r="S59" s="2744"/>
      <c r="T59" s="1006"/>
      <c r="U59" s="1006"/>
      <c r="V59" s="1006"/>
      <c r="W59" s="1006"/>
      <c r="X59" s="1006"/>
      <c r="Y59" s="1006"/>
      <c r="Z59" s="1006"/>
    </row>
    <row r="60">
      <c r="A60" s="2744"/>
      <c r="B60" s="2744"/>
      <c r="C60" s="2744"/>
      <c r="D60" s="2744"/>
      <c r="E60" s="2744"/>
      <c r="F60" s="2744"/>
      <c r="G60" s="2744"/>
      <c r="H60" s="2744"/>
      <c r="I60" s="2745"/>
      <c r="J60" s="2744"/>
      <c r="K60" s="2744"/>
      <c r="L60" s="2744"/>
      <c r="M60" s="2744"/>
      <c r="N60" s="2744"/>
      <c r="O60" s="2744"/>
      <c r="P60" s="2744"/>
      <c r="Q60" s="2744"/>
      <c r="R60" s="2744"/>
      <c r="S60" s="2744"/>
      <c r="T60" s="1006"/>
      <c r="U60" s="1006"/>
      <c r="V60" s="1006"/>
      <c r="W60" s="1006"/>
      <c r="X60" s="1006"/>
      <c r="Y60" s="1006"/>
      <c r="Z60" s="1006"/>
    </row>
    <row r="61">
      <c r="A61" s="2744"/>
      <c r="B61" s="2744"/>
      <c r="C61" s="2744"/>
      <c r="D61" s="2744"/>
      <c r="E61" s="2744"/>
      <c r="F61" s="2744"/>
      <c r="G61" s="2744"/>
      <c r="H61" s="2744"/>
      <c r="I61" s="2745"/>
      <c r="J61" s="2744"/>
      <c r="K61" s="2744"/>
      <c r="L61" s="2744"/>
      <c r="M61" s="2744"/>
      <c r="N61" s="2744"/>
      <c r="O61" s="2744"/>
      <c r="P61" s="2744"/>
      <c r="Q61" s="2744"/>
      <c r="R61" s="2744"/>
      <c r="S61" s="2744"/>
      <c r="T61" s="1006"/>
      <c r="U61" s="1006"/>
      <c r="V61" s="1006"/>
      <c r="W61" s="1006"/>
      <c r="X61" s="1006"/>
      <c r="Y61" s="1006"/>
      <c r="Z61" s="1006"/>
    </row>
    <row r="62">
      <c r="A62" s="2744"/>
      <c r="B62" s="2744"/>
      <c r="C62" s="2744"/>
      <c r="D62" s="2744"/>
      <c r="E62" s="2744"/>
      <c r="F62" s="2744"/>
      <c r="G62" s="2744"/>
      <c r="H62" s="2744"/>
      <c r="I62" s="2745"/>
      <c r="J62" s="2744"/>
      <c r="K62" s="2744"/>
      <c r="L62" s="2744"/>
      <c r="M62" s="2744"/>
      <c r="N62" s="2744"/>
      <c r="O62" s="2744"/>
      <c r="P62" s="2744"/>
      <c r="Q62" s="2744"/>
      <c r="R62" s="2744"/>
      <c r="S62" s="2744"/>
      <c r="T62" s="1006"/>
      <c r="U62" s="1006"/>
      <c r="V62" s="1006"/>
      <c r="W62" s="1006"/>
      <c r="X62" s="1006"/>
      <c r="Y62" s="1006"/>
      <c r="Z62" s="1006"/>
    </row>
    <row r="63">
      <c r="A63" s="2744"/>
      <c r="B63" s="2744"/>
      <c r="C63" s="2744"/>
      <c r="D63" s="2744"/>
      <c r="E63" s="2744"/>
      <c r="F63" s="2744"/>
      <c r="G63" s="2744"/>
      <c r="H63" s="2744"/>
      <c r="I63" s="2745"/>
      <c r="J63" s="2744"/>
      <c r="K63" s="2744"/>
      <c r="L63" s="2744"/>
      <c r="M63" s="2744"/>
      <c r="N63" s="2744"/>
      <c r="O63" s="2744"/>
      <c r="P63" s="2744"/>
      <c r="Q63" s="2744"/>
      <c r="R63" s="2744"/>
      <c r="S63" s="2744"/>
      <c r="T63" s="1006"/>
      <c r="U63" s="1006"/>
      <c r="V63" s="1006"/>
      <c r="W63" s="1006"/>
      <c r="X63" s="1006"/>
      <c r="Y63" s="1006"/>
      <c r="Z63" s="1006"/>
    </row>
    <row r="64">
      <c r="A64" s="2744"/>
      <c r="B64" s="2744"/>
      <c r="C64" s="2744"/>
      <c r="D64" s="2744"/>
      <c r="E64" s="2744"/>
      <c r="F64" s="2744"/>
      <c r="G64" s="2744"/>
      <c r="H64" s="2744"/>
      <c r="I64" s="2745"/>
      <c r="J64" s="2744"/>
      <c r="K64" s="2744"/>
      <c r="L64" s="2744"/>
      <c r="M64" s="2744"/>
      <c r="N64" s="2744"/>
      <c r="O64" s="2744"/>
      <c r="P64" s="2744"/>
      <c r="Q64" s="2744"/>
      <c r="R64" s="2744"/>
      <c r="S64" s="2744"/>
      <c r="T64" s="1006"/>
      <c r="U64" s="1006"/>
      <c r="V64" s="1006"/>
      <c r="W64" s="1006"/>
      <c r="X64" s="1006"/>
      <c r="Y64" s="1006"/>
      <c r="Z64" s="1006"/>
    </row>
    <row r="65">
      <c r="A65" s="2744"/>
      <c r="B65" s="2744"/>
      <c r="C65" s="2744"/>
      <c r="D65" s="2744"/>
      <c r="E65" s="2744"/>
      <c r="F65" s="2744"/>
      <c r="G65" s="2744"/>
      <c r="H65" s="2744"/>
      <c r="I65" s="2745"/>
      <c r="J65" s="2744"/>
      <c r="K65" s="2744"/>
      <c r="L65" s="2744"/>
      <c r="M65" s="2744"/>
      <c r="N65" s="2744"/>
      <c r="O65" s="2744"/>
      <c r="P65" s="2744"/>
      <c r="Q65" s="2744"/>
      <c r="R65" s="2744"/>
      <c r="S65" s="2744"/>
      <c r="T65" s="1006"/>
      <c r="U65" s="1006"/>
      <c r="V65" s="1006"/>
      <c r="W65" s="1006"/>
      <c r="X65" s="1006"/>
      <c r="Y65" s="1006"/>
      <c r="Z65" s="1006"/>
    </row>
    <row r="66">
      <c r="A66" s="2744"/>
      <c r="B66" s="2744"/>
      <c r="C66" s="2744"/>
      <c r="D66" s="2744"/>
      <c r="E66" s="2744"/>
      <c r="F66" s="2744"/>
      <c r="G66" s="2744"/>
      <c r="H66" s="2744"/>
      <c r="I66" s="2745"/>
      <c r="J66" s="2744"/>
      <c r="K66" s="2744"/>
      <c r="L66" s="2744"/>
      <c r="M66" s="2744"/>
      <c r="N66" s="2744"/>
      <c r="O66" s="2744"/>
      <c r="P66" s="2744"/>
      <c r="Q66" s="2744"/>
      <c r="R66" s="2744"/>
      <c r="S66" s="2744"/>
      <c r="T66" s="1006"/>
      <c r="U66" s="1006"/>
      <c r="V66" s="1006"/>
      <c r="W66" s="1006"/>
      <c r="X66" s="1006"/>
      <c r="Y66" s="1006"/>
      <c r="Z66" s="1006"/>
    </row>
    <row r="67">
      <c r="A67" s="2744"/>
      <c r="B67" s="2744"/>
      <c r="C67" s="2744"/>
      <c r="D67" s="2744"/>
      <c r="E67" s="2744"/>
      <c r="F67" s="2744"/>
      <c r="G67" s="2744"/>
      <c r="H67" s="2744"/>
      <c r="I67" s="2745"/>
      <c r="J67" s="2744"/>
      <c r="K67" s="2744"/>
      <c r="L67" s="2744"/>
      <c r="M67" s="2744"/>
      <c r="N67" s="2744"/>
      <c r="O67" s="2744"/>
      <c r="P67" s="2744"/>
      <c r="Q67" s="2744"/>
      <c r="R67" s="2744"/>
      <c r="S67" s="2744"/>
      <c r="T67" s="1006"/>
      <c r="U67" s="1006"/>
      <c r="V67" s="1006"/>
      <c r="W67" s="1006"/>
      <c r="X67" s="1006"/>
      <c r="Y67" s="1006"/>
      <c r="Z67" s="1006"/>
    </row>
    <row r="68">
      <c r="A68" s="2744"/>
      <c r="B68" s="2744"/>
      <c r="C68" s="2744"/>
      <c r="D68" s="2744"/>
      <c r="E68" s="2744"/>
      <c r="F68" s="2744"/>
      <c r="G68" s="2744"/>
      <c r="H68" s="2744"/>
      <c r="I68" s="2745"/>
      <c r="J68" s="2744"/>
      <c r="K68" s="2744"/>
      <c r="L68" s="2744"/>
      <c r="M68" s="2744"/>
      <c r="N68" s="2744"/>
      <c r="O68" s="2744"/>
      <c r="P68" s="2744"/>
      <c r="Q68" s="2744"/>
      <c r="R68" s="2744"/>
      <c r="S68" s="2744"/>
      <c r="T68" s="1006"/>
      <c r="U68" s="1006"/>
      <c r="V68" s="1006"/>
      <c r="W68" s="1006"/>
      <c r="X68" s="1006"/>
      <c r="Y68" s="1006"/>
      <c r="Z68" s="1006"/>
    </row>
    <row r="69">
      <c r="A69" s="2744"/>
      <c r="B69" s="2744"/>
      <c r="C69" s="2744"/>
      <c r="D69" s="2744"/>
      <c r="E69" s="2744"/>
      <c r="F69" s="2744"/>
      <c r="G69" s="2744"/>
      <c r="H69" s="2744"/>
      <c r="I69" s="2745"/>
      <c r="J69" s="2744"/>
      <c r="K69" s="2744"/>
      <c r="L69" s="2744"/>
      <c r="M69" s="2744"/>
      <c r="N69" s="2744"/>
      <c r="O69" s="2744"/>
      <c r="P69" s="2744"/>
      <c r="Q69" s="2744"/>
      <c r="R69" s="2744"/>
      <c r="S69" s="2744"/>
      <c r="T69" s="1006"/>
      <c r="U69" s="1006"/>
      <c r="V69" s="1006"/>
      <c r="W69" s="1006"/>
      <c r="X69" s="1006"/>
      <c r="Y69" s="1006"/>
      <c r="Z69" s="1006"/>
    </row>
    <row r="70">
      <c r="A70" s="2744"/>
      <c r="B70" s="2744"/>
      <c r="C70" s="2744"/>
      <c r="D70" s="2744"/>
      <c r="E70" s="2744"/>
      <c r="F70" s="2744"/>
      <c r="G70" s="2744"/>
      <c r="H70" s="2744"/>
      <c r="I70" s="2745"/>
      <c r="J70" s="2744"/>
      <c r="K70" s="2744"/>
      <c r="L70" s="2744"/>
      <c r="M70" s="2744"/>
      <c r="N70" s="2744"/>
      <c r="O70" s="2744"/>
      <c r="P70" s="2744"/>
      <c r="Q70" s="2744"/>
      <c r="R70" s="2744"/>
      <c r="S70" s="2744"/>
      <c r="T70" s="1006"/>
      <c r="U70" s="1006"/>
      <c r="V70" s="1006"/>
      <c r="W70" s="1006"/>
      <c r="X70" s="1006"/>
      <c r="Y70" s="1006"/>
      <c r="Z70" s="1006"/>
    </row>
    <row r="71">
      <c r="A71" s="2744"/>
      <c r="B71" s="2744"/>
      <c r="C71" s="2744"/>
      <c r="D71" s="2744"/>
      <c r="E71" s="2744"/>
      <c r="F71" s="2744"/>
      <c r="G71" s="2744"/>
      <c r="H71" s="2744"/>
      <c r="I71" s="2745"/>
      <c r="J71" s="2744"/>
      <c r="K71" s="2744"/>
      <c r="L71" s="2744"/>
      <c r="M71" s="2744"/>
      <c r="N71" s="2744"/>
      <c r="O71" s="2744"/>
      <c r="P71" s="2744"/>
      <c r="Q71" s="2744"/>
      <c r="R71" s="2744"/>
      <c r="S71" s="2744"/>
      <c r="T71" s="1006"/>
      <c r="U71" s="1006"/>
      <c r="V71" s="1006"/>
      <c r="W71" s="1006"/>
      <c r="X71" s="1006"/>
      <c r="Y71" s="1006"/>
      <c r="Z71" s="1006"/>
    </row>
    <row r="72">
      <c r="A72" s="2744"/>
      <c r="B72" s="2744"/>
      <c r="C72" s="2744"/>
      <c r="D72" s="2744"/>
      <c r="E72" s="2744"/>
      <c r="F72" s="2744"/>
      <c r="G72" s="2744"/>
      <c r="H72" s="2744"/>
      <c r="I72" s="2745"/>
      <c r="J72" s="2744"/>
      <c r="K72" s="2744"/>
      <c r="L72" s="2744"/>
      <c r="M72" s="2744"/>
      <c r="N72" s="2744"/>
      <c r="O72" s="2744"/>
      <c r="P72" s="2744"/>
      <c r="Q72" s="2744"/>
      <c r="R72" s="2744"/>
      <c r="S72" s="2744"/>
      <c r="T72" s="1006"/>
      <c r="U72" s="1006"/>
      <c r="V72" s="1006"/>
      <c r="W72" s="1006"/>
      <c r="X72" s="1006"/>
      <c r="Y72" s="1006"/>
      <c r="Z72" s="1006"/>
    </row>
    <row r="73">
      <c r="A73" s="2744"/>
      <c r="B73" s="2744"/>
      <c r="C73" s="2744"/>
      <c r="D73" s="2744"/>
      <c r="E73" s="2744"/>
      <c r="F73" s="2744"/>
      <c r="G73" s="2744"/>
      <c r="H73" s="2744"/>
      <c r="I73" s="2745"/>
      <c r="J73" s="2744"/>
      <c r="K73" s="2744"/>
      <c r="L73" s="2744"/>
      <c r="M73" s="2744"/>
      <c r="N73" s="2744"/>
      <c r="O73" s="2744"/>
      <c r="P73" s="2744"/>
      <c r="Q73" s="2744"/>
      <c r="R73" s="2744"/>
      <c r="S73" s="2744"/>
      <c r="T73" s="1006"/>
      <c r="U73" s="1006"/>
      <c r="V73" s="1006"/>
      <c r="W73" s="1006"/>
      <c r="X73" s="1006"/>
      <c r="Y73" s="1006"/>
      <c r="Z73" s="1006"/>
    </row>
    <row r="74">
      <c r="A74" s="2744"/>
      <c r="B74" s="2744"/>
      <c r="C74" s="2744"/>
      <c r="D74" s="2744"/>
      <c r="E74" s="2744"/>
      <c r="F74" s="2744"/>
      <c r="G74" s="2744"/>
      <c r="H74" s="2744"/>
      <c r="I74" s="2745"/>
      <c r="J74" s="2744"/>
      <c r="K74" s="2744"/>
      <c r="L74" s="2744"/>
      <c r="M74" s="2744"/>
      <c r="N74" s="2744"/>
      <c r="O74" s="2744"/>
      <c r="P74" s="2744"/>
      <c r="Q74" s="2744"/>
      <c r="R74" s="2744"/>
      <c r="S74" s="2744"/>
      <c r="T74" s="1006"/>
      <c r="U74" s="1006"/>
      <c r="V74" s="1006"/>
      <c r="W74" s="1006"/>
      <c r="X74" s="1006"/>
      <c r="Y74" s="1006"/>
      <c r="Z74" s="1006"/>
    </row>
    <row r="75">
      <c r="A75" s="2744"/>
      <c r="B75" s="2744"/>
      <c r="C75" s="2744"/>
      <c r="D75" s="2744"/>
      <c r="E75" s="2744"/>
      <c r="F75" s="2744"/>
      <c r="G75" s="2744"/>
      <c r="H75" s="2744"/>
      <c r="I75" s="2745"/>
      <c r="J75" s="2744"/>
      <c r="K75" s="2744"/>
      <c r="L75" s="2744"/>
      <c r="M75" s="2744"/>
      <c r="N75" s="2744"/>
      <c r="O75" s="2744"/>
      <c r="P75" s="2744"/>
      <c r="Q75" s="2744"/>
      <c r="R75" s="2744"/>
      <c r="S75" s="2744"/>
      <c r="T75" s="1006"/>
      <c r="U75" s="1006"/>
      <c r="V75" s="1006"/>
      <c r="W75" s="1006"/>
      <c r="X75" s="1006"/>
      <c r="Y75" s="1006"/>
      <c r="Z75" s="1006"/>
    </row>
    <row r="76">
      <c r="A76" s="2744"/>
      <c r="B76" s="2744"/>
      <c r="C76" s="2744"/>
      <c r="D76" s="2744"/>
      <c r="E76" s="2744"/>
      <c r="F76" s="2744"/>
      <c r="G76" s="2744"/>
      <c r="H76" s="2744"/>
      <c r="I76" s="2745"/>
      <c r="J76" s="2744"/>
      <c r="K76" s="2744"/>
      <c r="L76" s="2744"/>
      <c r="M76" s="2744"/>
      <c r="N76" s="2744"/>
      <c r="O76" s="2744"/>
      <c r="P76" s="2744"/>
      <c r="Q76" s="2744"/>
      <c r="R76" s="2744"/>
      <c r="S76" s="2744"/>
      <c r="T76" s="1006"/>
      <c r="U76" s="1006"/>
      <c r="V76" s="1006"/>
      <c r="W76" s="1006"/>
      <c r="X76" s="1006"/>
      <c r="Y76" s="1006"/>
      <c r="Z76" s="1006"/>
    </row>
    <row r="77">
      <c r="A77" s="2744"/>
      <c r="B77" s="2744"/>
      <c r="C77" s="2744"/>
      <c r="D77" s="2744"/>
      <c r="E77" s="2744"/>
      <c r="F77" s="2744"/>
      <c r="G77" s="2744"/>
      <c r="H77" s="2744"/>
      <c r="I77" s="2745"/>
      <c r="J77" s="2744"/>
      <c r="K77" s="2744"/>
      <c r="L77" s="2744"/>
      <c r="M77" s="2744"/>
      <c r="N77" s="2744"/>
      <c r="O77" s="2744"/>
      <c r="P77" s="2744"/>
      <c r="Q77" s="2744"/>
      <c r="R77" s="2744"/>
      <c r="S77" s="2744"/>
      <c r="T77" s="1006"/>
      <c r="U77" s="1006"/>
      <c r="V77" s="1006"/>
      <c r="W77" s="1006"/>
      <c r="X77" s="1006"/>
      <c r="Y77" s="1006"/>
      <c r="Z77" s="1006"/>
    </row>
    <row r="78">
      <c r="A78" s="2744"/>
      <c r="B78" s="2744"/>
      <c r="C78" s="2744"/>
      <c r="D78" s="2744"/>
      <c r="E78" s="2744"/>
      <c r="F78" s="2744"/>
      <c r="G78" s="2744"/>
      <c r="H78" s="2744"/>
      <c r="I78" s="2745"/>
      <c r="J78" s="2744"/>
      <c r="K78" s="2744"/>
      <c r="L78" s="2744"/>
      <c r="M78" s="2744"/>
      <c r="N78" s="2744"/>
      <c r="O78" s="2744"/>
      <c r="P78" s="2744"/>
      <c r="Q78" s="2744"/>
      <c r="R78" s="2744"/>
      <c r="S78" s="2744"/>
      <c r="T78" s="1006"/>
      <c r="U78" s="1006"/>
      <c r="V78" s="1006"/>
      <c r="W78" s="1006"/>
      <c r="X78" s="1006"/>
      <c r="Y78" s="1006"/>
      <c r="Z78" s="1006"/>
    </row>
    <row r="79">
      <c r="A79" s="2744"/>
      <c r="B79" s="2744"/>
      <c r="C79" s="2744"/>
      <c r="D79" s="2744"/>
      <c r="E79" s="2744"/>
      <c r="F79" s="2744"/>
      <c r="G79" s="2744"/>
      <c r="H79" s="2744"/>
      <c r="I79" s="2745"/>
      <c r="J79" s="2744"/>
      <c r="K79" s="2744"/>
      <c r="L79" s="2744"/>
      <c r="M79" s="2744"/>
      <c r="N79" s="2744"/>
      <c r="O79" s="2744"/>
      <c r="P79" s="2744"/>
      <c r="Q79" s="2744"/>
      <c r="R79" s="2744"/>
      <c r="S79" s="2744"/>
      <c r="T79" s="1006"/>
      <c r="U79" s="1006"/>
      <c r="V79" s="1006"/>
      <c r="W79" s="1006"/>
      <c r="X79" s="1006"/>
      <c r="Y79" s="1006"/>
      <c r="Z79" s="1006"/>
    </row>
    <row r="80">
      <c r="A80" s="2744"/>
      <c r="B80" s="2744"/>
      <c r="C80" s="2744"/>
      <c r="D80" s="2744"/>
      <c r="E80" s="2744"/>
      <c r="F80" s="2744"/>
      <c r="G80" s="2744"/>
      <c r="H80" s="2744"/>
      <c r="I80" s="2745"/>
      <c r="J80" s="2744"/>
      <c r="K80" s="2744"/>
      <c r="L80" s="2744"/>
      <c r="M80" s="2744"/>
      <c r="N80" s="2744"/>
      <c r="O80" s="2744"/>
      <c r="P80" s="2744"/>
      <c r="Q80" s="2744"/>
      <c r="R80" s="2744"/>
      <c r="S80" s="2744"/>
      <c r="T80" s="1006"/>
      <c r="U80" s="1006"/>
      <c r="V80" s="1006"/>
      <c r="W80" s="1006"/>
      <c r="X80" s="1006"/>
      <c r="Y80" s="1006"/>
      <c r="Z80" s="1006"/>
    </row>
    <row r="81">
      <c r="A81" s="2744"/>
      <c r="B81" s="2744"/>
      <c r="C81" s="2744"/>
      <c r="D81" s="2744"/>
      <c r="E81" s="2744"/>
      <c r="F81" s="2744"/>
      <c r="G81" s="2744"/>
      <c r="H81" s="2744"/>
      <c r="I81" s="2745"/>
      <c r="J81" s="2744"/>
      <c r="K81" s="2744"/>
      <c r="L81" s="2744"/>
      <c r="M81" s="2744"/>
      <c r="N81" s="2744"/>
      <c r="O81" s="2744"/>
      <c r="P81" s="2744"/>
      <c r="Q81" s="2744"/>
      <c r="R81" s="2744"/>
      <c r="S81" s="2744"/>
      <c r="T81" s="1006"/>
      <c r="U81" s="1006"/>
      <c r="V81" s="1006"/>
      <c r="W81" s="1006"/>
      <c r="X81" s="1006"/>
      <c r="Y81" s="1006"/>
      <c r="Z81" s="1006"/>
    </row>
    <row r="82">
      <c r="A82" s="2744"/>
      <c r="B82" s="2744"/>
      <c r="C82" s="2744"/>
      <c r="D82" s="2744"/>
      <c r="E82" s="2744"/>
      <c r="F82" s="2744"/>
      <c r="G82" s="2744"/>
      <c r="H82" s="2744"/>
      <c r="I82" s="2745"/>
      <c r="J82" s="2744"/>
      <c r="K82" s="2744"/>
      <c r="L82" s="2744"/>
      <c r="M82" s="2744"/>
      <c r="N82" s="2744"/>
      <c r="O82" s="2744"/>
      <c r="P82" s="2744"/>
      <c r="Q82" s="2744"/>
      <c r="R82" s="2744"/>
      <c r="S82" s="2744"/>
      <c r="T82" s="1006"/>
      <c r="U82" s="1006"/>
      <c r="V82" s="1006"/>
      <c r="W82" s="1006"/>
      <c r="X82" s="1006"/>
      <c r="Y82" s="1006"/>
      <c r="Z82" s="1006"/>
    </row>
    <row r="83">
      <c r="A83" s="2744"/>
      <c r="B83" s="2744"/>
      <c r="C83" s="2744"/>
      <c r="D83" s="2744"/>
      <c r="E83" s="2744"/>
      <c r="F83" s="2744"/>
      <c r="G83" s="2744"/>
      <c r="H83" s="2744"/>
      <c r="I83" s="2745"/>
      <c r="J83" s="2744"/>
      <c r="K83" s="2744"/>
      <c r="L83" s="2744"/>
      <c r="M83" s="2744"/>
      <c r="N83" s="2744"/>
      <c r="O83" s="2744"/>
      <c r="P83" s="2744"/>
      <c r="Q83" s="2744"/>
      <c r="R83" s="2744"/>
      <c r="S83" s="2744"/>
      <c r="T83" s="1006"/>
      <c r="U83" s="1006"/>
      <c r="V83" s="1006"/>
      <c r="W83" s="1006"/>
      <c r="X83" s="1006"/>
      <c r="Y83" s="1006"/>
      <c r="Z83" s="1006"/>
    </row>
    <row r="84">
      <c r="A84" s="2744"/>
      <c r="B84" s="2744"/>
      <c r="C84" s="2744"/>
      <c r="D84" s="2744"/>
      <c r="E84" s="2744"/>
      <c r="F84" s="2744"/>
      <c r="G84" s="2744"/>
      <c r="H84" s="2744"/>
      <c r="I84" s="2745"/>
      <c r="J84" s="2744"/>
      <c r="K84" s="2744"/>
      <c r="L84" s="2744"/>
      <c r="M84" s="2744"/>
      <c r="N84" s="2744"/>
      <c r="O84" s="2744"/>
      <c r="P84" s="2744"/>
      <c r="Q84" s="2744"/>
      <c r="R84" s="2744"/>
      <c r="S84" s="2744"/>
      <c r="T84" s="1006"/>
      <c r="U84" s="1006"/>
      <c r="V84" s="1006"/>
      <c r="W84" s="1006"/>
      <c r="X84" s="1006"/>
      <c r="Y84" s="1006"/>
      <c r="Z84" s="1006"/>
    </row>
    <row r="85">
      <c r="A85" s="2744"/>
      <c r="B85" s="2744"/>
      <c r="C85" s="2744"/>
      <c r="D85" s="2744"/>
      <c r="E85" s="2744"/>
      <c r="F85" s="2744"/>
      <c r="G85" s="2744"/>
      <c r="H85" s="2744"/>
      <c r="I85" s="2745"/>
      <c r="J85" s="2744"/>
      <c r="K85" s="2744"/>
      <c r="L85" s="2744"/>
      <c r="M85" s="2744"/>
      <c r="N85" s="2744"/>
      <c r="O85" s="2744"/>
      <c r="P85" s="2744"/>
      <c r="Q85" s="2744"/>
      <c r="R85" s="2744"/>
      <c r="S85" s="2744"/>
      <c r="T85" s="1006"/>
      <c r="U85" s="1006"/>
      <c r="V85" s="1006"/>
      <c r="W85" s="1006"/>
      <c r="X85" s="1006"/>
      <c r="Y85" s="1006"/>
      <c r="Z85" s="1006"/>
    </row>
    <row r="86">
      <c r="A86" s="2744"/>
      <c r="B86" s="2744"/>
      <c r="C86" s="2744"/>
      <c r="D86" s="2744"/>
      <c r="E86" s="2744"/>
      <c r="F86" s="2744"/>
      <c r="G86" s="2744"/>
      <c r="H86" s="2744"/>
      <c r="I86" s="2745"/>
      <c r="J86" s="2744"/>
      <c r="K86" s="2744"/>
      <c r="L86" s="2744"/>
      <c r="M86" s="2744"/>
      <c r="N86" s="2744"/>
      <c r="O86" s="2744"/>
      <c r="P86" s="2744"/>
      <c r="Q86" s="2744"/>
      <c r="R86" s="2744"/>
      <c r="S86" s="2744"/>
      <c r="T86" s="1006"/>
      <c r="U86" s="1006"/>
      <c r="V86" s="1006"/>
      <c r="W86" s="1006"/>
      <c r="X86" s="1006"/>
      <c r="Y86" s="1006"/>
      <c r="Z86" s="1006"/>
    </row>
    <row r="87">
      <c r="A87" s="2744"/>
      <c r="B87" s="2744"/>
      <c r="C87" s="2744"/>
      <c r="D87" s="2744"/>
      <c r="E87" s="2744"/>
      <c r="F87" s="2744"/>
      <c r="G87" s="2744"/>
      <c r="H87" s="2744"/>
      <c r="I87" s="2745"/>
      <c r="J87" s="2744"/>
      <c r="K87" s="2744"/>
      <c r="L87" s="2744"/>
      <c r="M87" s="2744"/>
      <c r="N87" s="2744"/>
      <c r="O87" s="2744"/>
      <c r="P87" s="2744"/>
      <c r="Q87" s="2744"/>
      <c r="R87" s="2744"/>
      <c r="S87" s="2744"/>
      <c r="T87" s="1006"/>
      <c r="U87" s="1006"/>
      <c r="V87" s="1006"/>
      <c r="W87" s="1006"/>
      <c r="X87" s="1006"/>
      <c r="Y87" s="1006"/>
      <c r="Z87" s="1006"/>
    </row>
    <row r="88">
      <c r="A88" s="2744"/>
      <c r="B88" s="2744"/>
      <c r="C88" s="2744"/>
      <c r="D88" s="2744"/>
      <c r="E88" s="2744"/>
      <c r="F88" s="2744"/>
      <c r="G88" s="2744"/>
      <c r="H88" s="2744"/>
      <c r="I88" s="2745"/>
      <c r="J88" s="2744"/>
      <c r="K88" s="2744"/>
      <c r="L88" s="2744"/>
      <c r="M88" s="2744"/>
      <c r="N88" s="2744"/>
      <c r="O88" s="2744"/>
      <c r="P88" s="2744"/>
      <c r="Q88" s="2744"/>
      <c r="R88" s="2744"/>
      <c r="S88" s="2744"/>
      <c r="T88" s="1006"/>
      <c r="U88" s="1006"/>
      <c r="V88" s="1006"/>
      <c r="W88" s="1006"/>
      <c r="X88" s="1006"/>
      <c r="Y88" s="1006"/>
      <c r="Z88" s="1006"/>
    </row>
    <row r="89">
      <c r="A89" s="2744"/>
      <c r="B89" s="2744"/>
      <c r="C89" s="2744"/>
      <c r="D89" s="2744"/>
      <c r="E89" s="2744"/>
      <c r="F89" s="2744"/>
      <c r="G89" s="2744"/>
      <c r="H89" s="2744"/>
      <c r="I89" s="2745"/>
      <c r="J89" s="2744"/>
      <c r="K89" s="2744"/>
      <c r="L89" s="2744"/>
      <c r="M89" s="2744"/>
      <c r="N89" s="2744"/>
      <c r="O89" s="2744"/>
      <c r="P89" s="2744"/>
      <c r="Q89" s="2744"/>
      <c r="R89" s="2744"/>
      <c r="S89" s="2744"/>
      <c r="T89" s="1006"/>
      <c r="U89" s="1006"/>
      <c r="V89" s="1006"/>
      <c r="W89" s="1006"/>
      <c r="X89" s="1006"/>
      <c r="Y89" s="1006"/>
      <c r="Z89" s="1006"/>
    </row>
    <row r="90">
      <c r="A90" s="2744"/>
      <c r="B90" s="2744"/>
      <c r="C90" s="2744"/>
      <c r="D90" s="2744"/>
      <c r="E90" s="2744"/>
      <c r="F90" s="2744"/>
      <c r="G90" s="2744"/>
      <c r="H90" s="2744"/>
      <c r="I90" s="2745"/>
      <c r="J90" s="2744"/>
      <c r="K90" s="2744"/>
      <c r="L90" s="2744"/>
      <c r="M90" s="2744"/>
      <c r="N90" s="2744"/>
      <c r="O90" s="2744"/>
      <c r="P90" s="2744"/>
      <c r="Q90" s="2744"/>
      <c r="R90" s="2744"/>
      <c r="S90" s="2744"/>
      <c r="T90" s="1006"/>
      <c r="U90" s="1006"/>
      <c r="V90" s="1006"/>
      <c r="W90" s="1006"/>
      <c r="X90" s="1006"/>
      <c r="Y90" s="1006"/>
      <c r="Z90" s="1006"/>
    </row>
    <row r="91">
      <c r="A91" s="2744"/>
      <c r="B91" s="2744"/>
      <c r="C91" s="2744"/>
      <c r="D91" s="2744"/>
      <c r="E91" s="2744"/>
      <c r="F91" s="2744"/>
      <c r="G91" s="2744"/>
      <c r="H91" s="2744"/>
      <c r="I91" s="2745"/>
      <c r="J91" s="2744"/>
      <c r="K91" s="2744"/>
      <c r="L91" s="2744"/>
      <c r="M91" s="2744"/>
      <c r="N91" s="2744"/>
      <c r="O91" s="2744"/>
      <c r="P91" s="2744"/>
      <c r="Q91" s="2744"/>
      <c r="R91" s="2744"/>
      <c r="S91" s="2744"/>
      <c r="T91" s="1006"/>
      <c r="U91" s="1006"/>
      <c r="V91" s="1006"/>
      <c r="W91" s="1006"/>
      <c r="X91" s="1006"/>
      <c r="Y91" s="1006"/>
      <c r="Z91" s="1006"/>
    </row>
    <row r="92">
      <c r="A92" s="2744"/>
      <c r="B92" s="2744"/>
      <c r="C92" s="2744"/>
      <c r="D92" s="2744"/>
      <c r="E92" s="2744"/>
      <c r="F92" s="2744"/>
      <c r="G92" s="2744"/>
      <c r="H92" s="2744"/>
      <c r="I92" s="2745"/>
      <c r="J92" s="2744"/>
      <c r="K92" s="2744"/>
      <c r="L92" s="2744"/>
      <c r="M92" s="2744"/>
      <c r="N92" s="2744"/>
      <c r="O92" s="2744"/>
      <c r="P92" s="2744"/>
      <c r="Q92" s="2744"/>
      <c r="R92" s="2744"/>
      <c r="S92" s="2744"/>
      <c r="T92" s="1006"/>
      <c r="U92" s="1006"/>
      <c r="V92" s="1006"/>
      <c r="W92" s="1006"/>
      <c r="X92" s="1006"/>
      <c r="Y92" s="1006"/>
      <c r="Z92" s="1006"/>
    </row>
    <row r="93">
      <c r="A93" s="2744"/>
      <c r="B93" s="2744"/>
      <c r="C93" s="2744"/>
      <c r="D93" s="2744"/>
      <c r="E93" s="2744"/>
      <c r="F93" s="2744"/>
      <c r="G93" s="2744"/>
      <c r="H93" s="2744"/>
      <c r="I93" s="2745"/>
      <c r="J93" s="2744"/>
      <c r="K93" s="2744"/>
      <c r="L93" s="2744"/>
      <c r="M93" s="2744"/>
      <c r="N93" s="2744"/>
      <c r="O93" s="2744"/>
      <c r="P93" s="2744"/>
      <c r="Q93" s="2744"/>
      <c r="R93" s="2744"/>
      <c r="S93" s="2744"/>
      <c r="T93" s="1006"/>
      <c r="U93" s="1006"/>
      <c r="V93" s="1006"/>
      <c r="W93" s="1006"/>
      <c r="X93" s="1006"/>
      <c r="Y93" s="1006"/>
      <c r="Z93" s="1006"/>
    </row>
    <row r="94">
      <c r="A94" s="2744"/>
      <c r="B94" s="2744"/>
      <c r="C94" s="2744"/>
      <c r="D94" s="2744"/>
      <c r="E94" s="2744"/>
      <c r="F94" s="2744"/>
      <c r="G94" s="2744"/>
      <c r="H94" s="2744"/>
      <c r="I94" s="2745"/>
      <c r="J94" s="2744"/>
      <c r="K94" s="2744"/>
      <c r="L94" s="2744"/>
      <c r="M94" s="2744"/>
      <c r="N94" s="2744"/>
      <c r="O94" s="2744"/>
      <c r="P94" s="2744"/>
      <c r="Q94" s="2744"/>
      <c r="R94" s="2744"/>
      <c r="S94" s="2744"/>
      <c r="T94" s="1006"/>
      <c r="U94" s="1006"/>
      <c r="V94" s="1006"/>
      <c r="W94" s="1006"/>
      <c r="X94" s="1006"/>
      <c r="Y94" s="1006"/>
      <c r="Z94" s="1006"/>
    </row>
    <row r="95">
      <c r="A95" s="2744"/>
      <c r="B95" s="2744"/>
      <c r="C95" s="2744"/>
      <c r="D95" s="2744"/>
      <c r="E95" s="2744"/>
      <c r="F95" s="2744"/>
      <c r="G95" s="2744"/>
      <c r="H95" s="2744"/>
      <c r="I95" s="2745"/>
      <c r="J95" s="2744"/>
      <c r="K95" s="2744"/>
      <c r="L95" s="2744"/>
      <c r="M95" s="2744"/>
      <c r="N95" s="2744"/>
      <c r="O95" s="2744"/>
      <c r="P95" s="2744"/>
      <c r="Q95" s="2744"/>
      <c r="R95" s="2744"/>
      <c r="S95" s="2744"/>
      <c r="T95" s="1006"/>
      <c r="U95" s="1006"/>
      <c r="V95" s="1006"/>
      <c r="W95" s="1006"/>
      <c r="X95" s="1006"/>
      <c r="Y95" s="1006"/>
      <c r="Z95" s="1006"/>
    </row>
    <row r="96">
      <c r="A96" s="2744"/>
      <c r="B96" s="2744"/>
      <c r="C96" s="2744"/>
      <c r="D96" s="2744"/>
      <c r="E96" s="2744"/>
      <c r="F96" s="2744"/>
      <c r="G96" s="2744"/>
      <c r="H96" s="2744"/>
      <c r="I96" s="2745"/>
      <c r="J96" s="2744"/>
      <c r="K96" s="2744"/>
      <c r="L96" s="2744"/>
      <c r="M96" s="2744"/>
      <c r="N96" s="2744"/>
      <c r="O96" s="2744"/>
      <c r="P96" s="2744"/>
      <c r="Q96" s="2744"/>
      <c r="R96" s="2744"/>
      <c r="S96" s="2744"/>
      <c r="T96" s="1006"/>
      <c r="U96" s="1006"/>
      <c r="V96" s="1006"/>
      <c r="W96" s="1006"/>
      <c r="X96" s="1006"/>
      <c r="Y96" s="1006"/>
      <c r="Z96" s="1006"/>
    </row>
    <row r="97">
      <c r="A97" s="2744"/>
      <c r="B97" s="2744"/>
      <c r="C97" s="2744"/>
      <c r="D97" s="2744"/>
      <c r="E97" s="2744"/>
      <c r="F97" s="2744"/>
      <c r="G97" s="2744"/>
      <c r="H97" s="2744"/>
      <c r="I97" s="2745"/>
      <c r="J97" s="2744"/>
      <c r="K97" s="2744"/>
      <c r="L97" s="2744"/>
      <c r="M97" s="2744"/>
      <c r="N97" s="2744"/>
      <c r="O97" s="2744"/>
      <c r="P97" s="2744"/>
      <c r="Q97" s="2744"/>
      <c r="R97" s="2744"/>
      <c r="S97" s="2744"/>
      <c r="T97" s="1006"/>
      <c r="U97" s="1006"/>
      <c r="V97" s="1006"/>
      <c r="W97" s="1006"/>
      <c r="X97" s="1006"/>
      <c r="Y97" s="1006"/>
      <c r="Z97" s="1006"/>
    </row>
    <row r="98">
      <c r="A98" s="2744"/>
      <c r="B98" s="2744"/>
      <c r="C98" s="2744"/>
      <c r="D98" s="2744"/>
      <c r="E98" s="2744"/>
      <c r="F98" s="2744"/>
      <c r="G98" s="2744"/>
      <c r="H98" s="2744"/>
      <c r="I98" s="2745"/>
      <c r="J98" s="2744"/>
      <c r="K98" s="2744"/>
      <c r="L98" s="2744"/>
      <c r="M98" s="2744"/>
      <c r="N98" s="2744"/>
      <c r="O98" s="2744"/>
      <c r="P98" s="2744"/>
      <c r="Q98" s="2744"/>
      <c r="R98" s="2744"/>
      <c r="S98" s="2744"/>
      <c r="T98" s="1006"/>
      <c r="U98" s="1006"/>
      <c r="V98" s="1006"/>
      <c r="W98" s="1006"/>
      <c r="X98" s="1006"/>
      <c r="Y98" s="1006"/>
      <c r="Z98" s="1006"/>
    </row>
    <row r="99">
      <c r="A99" s="2744"/>
      <c r="B99" s="2744"/>
      <c r="C99" s="2744"/>
      <c r="D99" s="2744"/>
      <c r="E99" s="2744"/>
      <c r="F99" s="2744"/>
      <c r="G99" s="2744"/>
      <c r="H99" s="2744"/>
      <c r="I99" s="2745"/>
      <c r="J99" s="2744"/>
      <c r="K99" s="2744"/>
      <c r="L99" s="2744"/>
      <c r="M99" s="2744"/>
      <c r="N99" s="2744"/>
      <c r="O99" s="2744"/>
      <c r="P99" s="2744"/>
      <c r="Q99" s="2744"/>
      <c r="R99" s="2744"/>
      <c r="S99" s="2744"/>
      <c r="T99" s="1006"/>
      <c r="U99" s="1006"/>
      <c r="V99" s="1006"/>
      <c r="W99" s="1006"/>
      <c r="X99" s="1006"/>
      <c r="Y99" s="1006"/>
      <c r="Z99" s="1006"/>
    </row>
    <row r="100">
      <c r="A100" s="2744"/>
      <c r="B100" s="2744"/>
      <c r="C100" s="2744"/>
      <c r="D100" s="2744"/>
      <c r="E100" s="2744"/>
      <c r="F100" s="2744"/>
      <c r="G100" s="2744"/>
      <c r="H100" s="2744"/>
      <c r="I100" s="2745"/>
      <c r="J100" s="2744"/>
      <c r="K100" s="2744"/>
      <c r="L100" s="2744"/>
      <c r="M100" s="2744"/>
      <c r="N100" s="2744"/>
      <c r="O100" s="2744"/>
      <c r="P100" s="2744"/>
      <c r="Q100" s="2744"/>
      <c r="R100" s="2744"/>
      <c r="S100" s="2744"/>
      <c r="T100" s="1006"/>
      <c r="U100" s="1006"/>
      <c r="V100" s="1006"/>
      <c r="W100" s="1006"/>
      <c r="X100" s="1006"/>
      <c r="Y100" s="1006"/>
      <c r="Z100" s="1006"/>
    </row>
    <row r="101">
      <c r="A101" s="2744"/>
      <c r="B101" s="2744"/>
      <c r="C101" s="2744"/>
      <c r="D101" s="2744"/>
      <c r="E101" s="2744"/>
      <c r="F101" s="2744"/>
      <c r="G101" s="2744"/>
      <c r="H101" s="2744"/>
      <c r="I101" s="2745"/>
      <c r="J101" s="2744"/>
      <c r="K101" s="2744"/>
      <c r="L101" s="2744"/>
      <c r="M101" s="2744"/>
      <c r="N101" s="2744"/>
      <c r="O101" s="2744"/>
      <c r="P101" s="2744"/>
      <c r="Q101" s="2744"/>
      <c r="R101" s="2744"/>
      <c r="S101" s="2744"/>
      <c r="T101" s="1006"/>
      <c r="U101" s="1006"/>
      <c r="V101" s="1006"/>
      <c r="W101" s="1006"/>
      <c r="X101" s="1006"/>
      <c r="Y101" s="1006"/>
      <c r="Z101" s="1006"/>
    </row>
    <row r="102">
      <c r="A102" s="2744"/>
      <c r="B102" s="2744"/>
      <c r="C102" s="2744"/>
      <c r="D102" s="2744"/>
      <c r="E102" s="2744"/>
      <c r="F102" s="2744"/>
      <c r="G102" s="2744"/>
      <c r="H102" s="2744"/>
      <c r="I102" s="2745"/>
      <c r="J102" s="2744"/>
      <c r="K102" s="2744"/>
      <c r="L102" s="2744"/>
      <c r="M102" s="2744"/>
      <c r="N102" s="2744"/>
      <c r="O102" s="2744"/>
      <c r="P102" s="2744"/>
      <c r="Q102" s="2744"/>
      <c r="R102" s="2744"/>
      <c r="S102" s="2744"/>
      <c r="T102" s="1006"/>
      <c r="U102" s="1006"/>
      <c r="V102" s="1006"/>
      <c r="W102" s="1006"/>
      <c r="X102" s="1006"/>
      <c r="Y102" s="1006"/>
      <c r="Z102" s="1006"/>
    </row>
    <row r="103">
      <c r="A103" s="2744"/>
      <c r="B103" s="2744"/>
      <c r="C103" s="2744"/>
      <c r="D103" s="2744"/>
      <c r="E103" s="2744"/>
      <c r="F103" s="2744"/>
      <c r="G103" s="2744"/>
      <c r="H103" s="2744"/>
      <c r="I103" s="2745"/>
      <c r="J103" s="2744"/>
      <c r="K103" s="2744"/>
      <c r="L103" s="2744"/>
      <c r="M103" s="2744"/>
      <c r="N103" s="2744"/>
      <c r="O103" s="2744"/>
      <c r="P103" s="2744"/>
      <c r="Q103" s="2744"/>
      <c r="R103" s="2744"/>
      <c r="S103" s="2744"/>
      <c r="T103" s="1006"/>
      <c r="U103" s="1006"/>
      <c r="V103" s="1006"/>
      <c r="W103" s="1006"/>
      <c r="X103" s="1006"/>
      <c r="Y103" s="1006"/>
      <c r="Z103" s="1006"/>
    </row>
    <row r="104">
      <c r="A104" s="2744"/>
      <c r="B104" s="2744"/>
      <c r="C104" s="2744"/>
      <c r="D104" s="2744"/>
      <c r="E104" s="2744"/>
      <c r="F104" s="2744"/>
      <c r="G104" s="2744"/>
      <c r="H104" s="2744"/>
      <c r="I104" s="2745"/>
      <c r="J104" s="2744"/>
      <c r="K104" s="2744"/>
      <c r="L104" s="2744"/>
      <c r="M104" s="2744"/>
      <c r="N104" s="2744"/>
      <c r="O104" s="2744"/>
      <c r="P104" s="2744"/>
      <c r="Q104" s="2744"/>
      <c r="R104" s="2744"/>
      <c r="S104" s="2744"/>
      <c r="T104" s="1006"/>
      <c r="U104" s="1006"/>
      <c r="V104" s="1006"/>
      <c r="W104" s="1006"/>
      <c r="X104" s="1006"/>
      <c r="Y104" s="1006"/>
      <c r="Z104" s="1006"/>
    </row>
    <row r="105">
      <c r="A105" s="2744"/>
      <c r="B105" s="2744"/>
      <c r="C105" s="2744"/>
      <c r="D105" s="2744"/>
      <c r="E105" s="2744"/>
      <c r="F105" s="2744"/>
      <c r="G105" s="2744"/>
      <c r="H105" s="2744"/>
      <c r="I105" s="2745"/>
      <c r="J105" s="2744"/>
      <c r="K105" s="2744"/>
      <c r="L105" s="2744"/>
      <c r="M105" s="2744"/>
      <c r="N105" s="2744"/>
      <c r="O105" s="2744"/>
      <c r="P105" s="2744"/>
      <c r="Q105" s="2744"/>
      <c r="R105" s="2744"/>
      <c r="S105" s="2744"/>
      <c r="T105" s="1006"/>
      <c r="U105" s="1006"/>
      <c r="V105" s="1006"/>
      <c r="W105" s="1006"/>
      <c r="X105" s="1006"/>
      <c r="Y105" s="1006"/>
      <c r="Z105" s="1006"/>
    </row>
    <row r="106">
      <c r="A106" s="2744"/>
      <c r="B106" s="2744"/>
      <c r="C106" s="2744"/>
      <c r="D106" s="2744"/>
      <c r="E106" s="2744"/>
      <c r="F106" s="2744"/>
      <c r="G106" s="2744"/>
      <c r="H106" s="2744"/>
      <c r="I106" s="2745"/>
      <c r="J106" s="2744"/>
      <c r="K106" s="2744"/>
      <c r="L106" s="2744"/>
      <c r="M106" s="2744"/>
      <c r="N106" s="2744"/>
      <c r="O106" s="2744"/>
      <c r="P106" s="2744"/>
      <c r="Q106" s="2744"/>
      <c r="R106" s="2744"/>
      <c r="S106" s="2744"/>
      <c r="T106" s="1006"/>
      <c r="U106" s="1006"/>
      <c r="V106" s="1006"/>
      <c r="W106" s="1006"/>
      <c r="X106" s="1006"/>
      <c r="Y106" s="1006"/>
      <c r="Z106" s="1006"/>
    </row>
    <row r="107">
      <c r="A107" s="2744"/>
      <c r="B107" s="2744"/>
      <c r="C107" s="2744"/>
      <c r="D107" s="2744"/>
      <c r="E107" s="2744"/>
      <c r="F107" s="2744"/>
      <c r="G107" s="2744"/>
      <c r="H107" s="2744"/>
      <c r="I107" s="2745"/>
      <c r="J107" s="2744"/>
      <c r="K107" s="2744"/>
      <c r="L107" s="2744"/>
      <c r="M107" s="2744"/>
      <c r="N107" s="2744"/>
      <c r="O107" s="2744"/>
      <c r="P107" s="2744"/>
      <c r="Q107" s="2744"/>
      <c r="R107" s="2744"/>
      <c r="S107" s="2744"/>
      <c r="T107" s="1006"/>
      <c r="U107" s="1006"/>
      <c r="V107" s="1006"/>
      <c r="W107" s="1006"/>
      <c r="X107" s="1006"/>
      <c r="Y107" s="1006"/>
      <c r="Z107" s="1006"/>
    </row>
    <row r="108">
      <c r="A108" s="2744"/>
      <c r="B108" s="2744"/>
      <c r="C108" s="2744"/>
      <c r="D108" s="2744"/>
      <c r="E108" s="2744"/>
      <c r="F108" s="2744"/>
      <c r="G108" s="2744"/>
      <c r="H108" s="2744"/>
      <c r="I108" s="2745"/>
      <c r="J108" s="2744"/>
      <c r="K108" s="2744"/>
      <c r="L108" s="2744"/>
      <c r="M108" s="2744"/>
      <c r="N108" s="2744"/>
      <c r="O108" s="2744"/>
      <c r="P108" s="2744"/>
      <c r="Q108" s="2744"/>
      <c r="R108" s="2744"/>
      <c r="S108" s="2744"/>
      <c r="T108" s="1006"/>
      <c r="U108" s="1006"/>
      <c r="V108" s="1006"/>
      <c r="W108" s="1006"/>
      <c r="X108" s="1006"/>
      <c r="Y108" s="1006"/>
      <c r="Z108" s="1006"/>
    </row>
    <row r="109">
      <c r="A109" s="2744"/>
      <c r="B109" s="2744"/>
      <c r="C109" s="2744"/>
      <c r="D109" s="2744"/>
      <c r="E109" s="2744"/>
      <c r="F109" s="2744"/>
      <c r="G109" s="2744"/>
      <c r="H109" s="2744"/>
      <c r="I109" s="2745"/>
      <c r="J109" s="2744"/>
      <c r="K109" s="2744"/>
      <c r="L109" s="2744"/>
      <c r="M109" s="2744"/>
      <c r="N109" s="2744"/>
      <c r="O109" s="2744"/>
      <c r="P109" s="2744"/>
      <c r="Q109" s="2744"/>
      <c r="R109" s="2744"/>
      <c r="S109" s="2744"/>
      <c r="T109" s="1006"/>
      <c r="U109" s="1006"/>
      <c r="V109" s="1006"/>
      <c r="W109" s="1006"/>
      <c r="X109" s="1006"/>
      <c r="Y109" s="1006"/>
      <c r="Z109" s="1006"/>
    </row>
    <row r="110">
      <c r="A110" s="2744"/>
      <c r="B110" s="2744"/>
      <c r="C110" s="2744"/>
      <c r="D110" s="2744"/>
      <c r="E110" s="2744"/>
      <c r="F110" s="2744"/>
      <c r="G110" s="2744"/>
      <c r="H110" s="2744"/>
      <c r="I110" s="2745"/>
      <c r="J110" s="2744"/>
      <c r="K110" s="2744"/>
      <c r="L110" s="2744"/>
      <c r="M110" s="2744"/>
      <c r="N110" s="2744"/>
      <c r="O110" s="2744"/>
      <c r="P110" s="2744"/>
      <c r="Q110" s="2744"/>
      <c r="R110" s="2744"/>
      <c r="S110" s="2744"/>
      <c r="T110" s="1006"/>
      <c r="U110" s="1006"/>
      <c r="V110" s="1006"/>
      <c r="W110" s="1006"/>
      <c r="X110" s="1006"/>
      <c r="Y110" s="1006"/>
      <c r="Z110" s="1006"/>
    </row>
    <row r="111">
      <c r="A111" s="2744"/>
      <c r="B111" s="2744"/>
      <c r="C111" s="2744"/>
      <c r="D111" s="2744"/>
      <c r="E111" s="2744"/>
      <c r="F111" s="2744"/>
      <c r="G111" s="2744"/>
      <c r="H111" s="2744"/>
      <c r="I111" s="2745"/>
      <c r="J111" s="2744"/>
      <c r="K111" s="2744"/>
      <c r="L111" s="2744"/>
      <c r="M111" s="2744"/>
      <c r="N111" s="2744"/>
      <c r="O111" s="2744"/>
      <c r="P111" s="2744"/>
      <c r="Q111" s="2744"/>
      <c r="R111" s="2744"/>
      <c r="S111" s="2744"/>
      <c r="T111" s="1006"/>
      <c r="U111" s="1006"/>
      <c r="V111" s="1006"/>
      <c r="W111" s="1006"/>
      <c r="X111" s="1006"/>
      <c r="Y111" s="1006"/>
      <c r="Z111" s="1006"/>
    </row>
    <row r="112">
      <c r="A112" s="2744"/>
      <c r="B112" s="2744"/>
      <c r="C112" s="2744"/>
      <c r="D112" s="2744"/>
      <c r="E112" s="2744"/>
      <c r="F112" s="2744"/>
      <c r="G112" s="2744"/>
      <c r="H112" s="2744"/>
      <c r="I112" s="2745"/>
      <c r="J112" s="2744"/>
      <c r="K112" s="2744"/>
      <c r="L112" s="2744"/>
      <c r="M112" s="2744"/>
      <c r="N112" s="2744"/>
      <c r="O112" s="2744"/>
      <c r="P112" s="2744"/>
      <c r="Q112" s="2744"/>
      <c r="R112" s="2744"/>
      <c r="S112" s="2744"/>
      <c r="T112" s="1006"/>
      <c r="U112" s="1006"/>
      <c r="V112" s="1006"/>
      <c r="W112" s="1006"/>
      <c r="X112" s="1006"/>
      <c r="Y112" s="1006"/>
      <c r="Z112" s="1006"/>
    </row>
    <row r="113">
      <c r="A113" s="2744"/>
      <c r="B113" s="2744"/>
      <c r="C113" s="2744"/>
      <c r="D113" s="2744"/>
      <c r="E113" s="2744"/>
      <c r="F113" s="2744"/>
      <c r="G113" s="2744"/>
      <c r="H113" s="2744"/>
      <c r="I113" s="2745"/>
      <c r="J113" s="2744"/>
      <c r="K113" s="2744"/>
      <c r="L113" s="2744"/>
      <c r="M113" s="2744"/>
      <c r="N113" s="2744"/>
      <c r="O113" s="2744"/>
      <c r="P113" s="2744"/>
      <c r="Q113" s="2744"/>
      <c r="R113" s="2744"/>
      <c r="S113" s="2744"/>
      <c r="T113" s="1006"/>
      <c r="U113" s="1006"/>
      <c r="V113" s="1006"/>
      <c r="W113" s="1006"/>
      <c r="X113" s="1006"/>
      <c r="Y113" s="1006"/>
      <c r="Z113" s="1006"/>
    </row>
    <row r="114">
      <c r="A114" s="2744"/>
      <c r="B114" s="2744"/>
      <c r="C114" s="2744"/>
      <c r="D114" s="2744"/>
      <c r="E114" s="2744"/>
      <c r="F114" s="2744"/>
      <c r="G114" s="2744"/>
      <c r="H114" s="2744"/>
      <c r="I114" s="2745"/>
      <c r="J114" s="2744"/>
      <c r="K114" s="2744"/>
      <c r="L114" s="2744"/>
      <c r="M114" s="2744"/>
      <c r="N114" s="2744"/>
      <c r="O114" s="2744"/>
      <c r="P114" s="2744"/>
      <c r="Q114" s="2744"/>
      <c r="R114" s="2744"/>
      <c r="S114" s="2744"/>
      <c r="T114" s="1006"/>
      <c r="U114" s="1006"/>
      <c r="V114" s="1006"/>
      <c r="W114" s="1006"/>
      <c r="X114" s="1006"/>
      <c r="Y114" s="1006"/>
      <c r="Z114" s="1006"/>
    </row>
    <row r="115">
      <c r="A115" s="2744"/>
      <c r="B115" s="2744"/>
      <c r="C115" s="2744"/>
      <c r="D115" s="2744"/>
      <c r="E115" s="2744"/>
      <c r="F115" s="2744"/>
      <c r="G115" s="2744"/>
      <c r="H115" s="2744"/>
      <c r="I115" s="2745"/>
      <c r="J115" s="2744"/>
      <c r="K115" s="2744"/>
      <c r="L115" s="2744"/>
      <c r="M115" s="2744"/>
      <c r="N115" s="2744"/>
      <c r="O115" s="2744"/>
      <c r="P115" s="2744"/>
      <c r="Q115" s="2744"/>
      <c r="R115" s="2744"/>
      <c r="S115" s="2744"/>
      <c r="T115" s="1006"/>
      <c r="U115" s="1006"/>
      <c r="V115" s="1006"/>
      <c r="W115" s="1006"/>
      <c r="X115" s="1006"/>
      <c r="Y115" s="1006"/>
      <c r="Z115" s="1006"/>
    </row>
    <row r="116">
      <c r="A116" s="2744"/>
      <c r="B116" s="2744"/>
      <c r="C116" s="2744"/>
      <c r="D116" s="2744"/>
      <c r="E116" s="2744"/>
      <c r="F116" s="2744"/>
      <c r="G116" s="2744"/>
      <c r="H116" s="2744"/>
      <c r="I116" s="2745"/>
      <c r="J116" s="2744"/>
      <c r="K116" s="2744"/>
      <c r="L116" s="2744"/>
      <c r="M116" s="2744"/>
      <c r="N116" s="2744"/>
      <c r="O116" s="2744"/>
      <c r="P116" s="2744"/>
      <c r="Q116" s="2744"/>
      <c r="R116" s="2744"/>
      <c r="S116" s="2744"/>
      <c r="T116" s="1006"/>
      <c r="U116" s="1006"/>
      <c r="V116" s="1006"/>
      <c r="W116" s="1006"/>
      <c r="X116" s="1006"/>
      <c r="Y116" s="1006"/>
      <c r="Z116" s="1006"/>
    </row>
    <row r="117">
      <c r="A117" s="2744"/>
      <c r="B117" s="2744"/>
      <c r="C117" s="2744"/>
      <c r="D117" s="2744"/>
      <c r="E117" s="2744"/>
      <c r="F117" s="2744"/>
      <c r="G117" s="2744"/>
      <c r="H117" s="2744"/>
      <c r="I117" s="2745"/>
      <c r="J117" s="2744"/>
      <c r="K117" s="2744"/>
      <c r="L117" s="2744"/>
      <c r="M117" s="2744"/>
      <c r="N117" s="2744"/>
      <c r="O117" s="2744"/>
      <c r="P117" s="2744"/>
      <c r="Q117" s="2744"/>
      <c r="R117" s="2744"/>
      <c r="S117" s="2744"/>
      <c r="T117" s="1006"/>
      <c r="U117" s="1006"/>
      <c r="V117" s="1006"/>
      <c r="W117" s="1006"/>
      <c r="X117" s="1006"/>
      <c r="Y117" s="1006"/>
      <c r="Z117" s="1006"/>
    </row>
    <row r="118">
      <c r="A118" s="2744"/>
      <c r="B118" s="2744"/>
      <c r="C118" s="2744"/>
      <c r="D118" s="2744"/>
      <c r="E118" s="2744"/>
      <c r="F118" s="2744"/>
      <c r="G118" s="2744"/>
      <c r="H118" s="2744"/>
      <c r="I118" s="2745"/>
      <c r="J118" s="2744"/>
      <c r="K118" s="2744"/>
      <c r="L118" s="2744"/>
      <c r="M118" s="2744"/>
      <c r="N118" s="2744"/>
      <c r="O118" s="2744"/>
      <c r="P118" s="2744"/>
      <c r="Q118" s="2744"/>
      <c r="R118" s="2744"/>
      <c r="S118" s="2744"/>
      <c r="T118" s="1006"/>
      <c r="U118" s="1006"/>
      <c r="V118" s="1006"/>
      <c r="W118" s="1006"/>
      <c r="X118" s="1006"/>
      <c r="Y118" s="1006"/>
      <c r="Z118" s="1006"/>
    </row>
    <row r="119">
      <c r="A119" s="2744"/>
      <c r="B119" s="2744"/>
      <c r="C119" s="2744"/>
      <c r="D119" s="2744"/>
      <c r="E119" s="2744"/>
      <c r="F119" s="2744"/>
      <c r="G119" s="2744"/>
      <c r="H119" s="2744"/>
      <c r="I119" s="2745"/>
      <c r="J119" s="2744"/>
      <c r="K119" s="2744"/>
      <c r="L119" s="2744"/>
      <c r="M119" s="2744"/>
      <c r="N119" s="2744"/>
      <c r="O119" s="2744"/>
      <c r="P119" s="2744"/>
      <c r="Q119" s="2744"/>
      <c r="R119" s="2744"/>
      <c r="S119" s="2744"/>
      <c r="T119" s="1006"/>
      <c r="U119" s="1006"/>
      <c r="V119" s="1006"/>
      <c r="W119" s="1006"/>
      <c r="X119" s="1006"/>
      <c r="Y119" s="1006"/>
      <c r="Z119" s="1006"/>
    </row>
    <row r="120">
      <c r="A120" s="2744"/>
      <c r="B120" s="2744"/>
      <c r="C120" s="2744"/>
      <c r="D120" s="2744"/>
      <c r="E120" s="2744"/>
      <c r="F120" s="2744"/>
      <c r="G120" s="2744"/>
      <c r="H120" s="2744"/>
      <c r="I120" s="2745"/>
      <c r="J120" s="2744"/>
      <c r="K120" s="2744"/>
      <c r="L120" s="2744"/>
      <c r="M120" s="2744"/>
      <c r="N120" s="2744"/>
      <c r="O120" s="2744"/>
      <c r="P120" s="2744"/>
      <c r="Q120" s="2744"/>
      <c r="R120" s="2744"/>
      <c r="S120" s="2744"/>
      <c r="T120" s="1006"/>
      <c r="U120" s="1006"/>
      <c r="V120" s="1006"/>
      <c r="W120" s="1006"/>
      <c r="X120" s="1006"/>
      <c r="Y120" s="1006"/>
      <c r="Z120" s="1006"/>
    </row>
    <row r="121">
      <c r="A121" s="2744"/>
      <c r="B121" s="2744"/>
      <c r="C121" s="2744"/>
      <c r="D121" s="2744"/>
      <c r="E121" s="2744"/>
      <c r="F121" s="2744"/>
      <c r="G121" s="2744"/>
      <c r="H121" s="2744"/>
      <c r="I121" s="2745"/>
      <c r="J121" s="2744"/>
      <c r="K121" s="2744"/>
      <c r="L121" s="2744"/>
      <c r="M121" s="2744"/>
      <c r="N121" s="2744"/>
      <c r="O121" s="2744"/>
      <c r="P121" s="2744"/>
      <c r="Q121" s="2744"/>
      <c r="R121" s="2744"/>
      <c r="S121" s="2744"/>
      <c r="T121" s="1006"/>
      <c r="U121" s="1006"/>
      <c r="V121" s="1006"/>
      <c r="W121" s="1006"/>
      <c r="X121" s="1006"/>
      <c r="Y121" s="1006"/>
      <c r="Z121" s="1006"/>
    </row>
    <row r="122">
      <c r="A122" s="2744"/>
      <c r="B122" s="2744"/>
      <c r="C122" s="2744"/>
      <c r="D122" s="2744"/>
      <c r="E122" s="2744"/>
      <c r="F122" s="2744"/>
      <c r="G122" s="2744"/>
      <c r="H122" s="2744"/>
      <c r="I122" s="2745"/>
      <c r="J122" s="2744"/>
      <c r="K122" s="2744"/>
      <c r="L122" s="2744"/>
      <c r="M122" s="2744"/>
      <c r="N122" s="2744"/>
      <c r="O122" s="2744"/>
      <c r="P122" s="2744"/>
      <c r="Q122" s="2744"/>
      <c r="R122" s="2744"/>
      <c r="S122" s="2744"/>
      <c r="T122" s="1006"/>
      <c r="U122" s="1006"/>
      <c r="V122" s="1006"/>
      <c r="W122" s="1006"/>
      <c r="X122" s="1006"/>
      <c r="Y122" s="1006"/>
      <c r="Z122" s="1006"/>
    </row>
    <row r="123">
      <c r="A123" s="2744"/>
      <c r="B123" s="2744"/>
      <c r="C123" s="2744"/>
      <c r="D123" s="2744"/>
      <c r="E123" s="2744"/>
      <c r="F123" s="2744"/>
      <c r="G123" s="2744"/>
      <c r="H123" s="2744"/>
      <c r="I123" s="2745"/>
      <c r="J123" s="2744"/>
      <c r="K123" s="2744"/>
      <c r="L123" s="2744"/>
      <c r="M123" s="2744"/>
      <c r="N123" s="2744"/>
      <c r="O123" s="2744"/>
      <c r="P123" s="2744"/>
      <c r="Q123" s="2744"/>
      <c r="R123" s="2744"/>
      <c r="S123" s="2744"/>
      <c r="T123" s="1006"/>
      <c r="U123" s="1006"/>
      <c r="V123" s="1006"/>
      <c r="W123" s="1006"/>
      <c r="X123" s="1006"/>
      <c r="Y123" s="1006"/>
      <c r="Z123" s="1006"/>
    </row>
    <row r="124">
      <c r="A124" s="2744"/>
      <c r="B124" s="2744"/>
      <c r="C124" s="2744"/>
      <c r="D124" s="2744"/>
      <c r="E124" s="2744"/>
      <c r="F124" s="2744"/>
      <c r="G124" s="2744"/>
      <c r="H124" s="2744"/>
      <c r="I124" s="2745"/>
      <c r="J124" s="2744"/>
      <c r="K124" s="2744"/>
      <c r="L124" s="2744"/>
      <c r="M124" s="2744"/>
      <c r="N124" s="2744"/>
      <c r="O124" s="2744"/>
      <c r="P124" s="2744"/>
      <c r="Q124" s="2744"/>
      <c r="R124" s="2744"/>
      <c r="S124" s="2744"/>
      <c r="T124" s="1006"/>
      <c r="U124" s="1006"/>
      <c r="V124" s="1006"/>
      <c r="W124" s="1006"/>
      <c r="X124" s="1006"/>
      <c r="Y124" s="1006"/>
      <c r="Z124" s="1006"/>
    </row>
    <row r="125">
      <c r="A125" s="2744"/>
      <c r="B125" s="2744"/>
      <c r="C125" s="2744"/>
      <c r="D125" s="2744"/>
      <c r="E125" s="2744"/>
      <c r="F125" s="2744"/>
      <c r="G125" s="2744"/>
      <c r="H125" s="2744"/>
      <c r="I125" s="2745"/>
      <c r="J125" s="2744"/>
      <c r="K125" s="2744"/>
      <c r="L125" s="2744"/>
      <c r="M125" s="2744"/>
      <c r="N125" s="2744"/>
      <c r="O125" s="2744"/>
      <c r="P125" s="2744"/>
      <c r="Q125" s="2744"/>
      <c r="R125" s="2744"/>
      <c r="S125" s="2744"/>
      <c r="T125" s="1006"/>
      <c r="U125" s="1006"/>
      <c r="V125" s="1006"/>
      <c r="W125" s="1006"/>
      <c r="X125" s="1006"/>
      <c r="Y125" s="1006"/>
      <c r="Z125" s="1006"/>
    </row>
    <row r="126">
      <c r="A126" s="2744"/>
      <c r="B126" s="2744"/>
      <c r="C126" s="2744"/>
      <c r="D126" s="2744"/>
      <c r="E126" s="2744"/>
      <c r="F126" s="2744"/>
      <c r="G126" s="2744"/>
      <c r="H126" s="2744"/>
      <c r="I126" s="2745"/>
      <c r="J126" s="2744"/>
      <c r="K126" s="2744"/>
      <c r="L126" s="2744"/>
      <c r="M126" s="2744"/>
      <c r="N126" s="2744"/>
      <c r="O126" s="2744"/>
      <c r="P126" s="2744"/>
      <c r="Q126" s="2744"/>
      <c r="R126" s="2744"/>
      <c r="S126" s="2744"/>
      <c r="T126" s="1006"/>
      <c r="U126" s="1006"/>
      <c r="V126" s="1006"/>
      <c r="W126" s="1006"/>
      <c r="X126" s="1006"/>
      <c r="Y126" s="1006"/>
      <c r="Z126" s="1006"/>
    </row>
    <row r="127">
      <c r="A127" s="2744"/>
      <c r="B127" s="2744"/>
      <c r="C127" s="2744"/>
      <c r="D127" s="2744"/>
      <c r="E127" s="2744"/>
      <c r="F127" s="2744"/>
      <c r="G127" s="2744"/>
      <c r="H127" s="2744"/>
      <c r="I127" s="2745"/>
      <c r="J127" s="2744"/>
      <c r="K127" s="2744"/>
      <c r="L127" s="2744"/>
      <c r="M127" s="2744"/>
      <c r="N127" s="2744"/>
      <c r="O127" s="2744"/>
      <c r="P127" s="2744"/>
      <c r="Q127" s="2744"/>
      <c r="R127" s="2744"/>
      <c r="S127" s="2744"/>
      <c r="T127" s="1006"/>
      <c r="U127" s="1006"/>
      <c r="V127" s="1006"/>
      <c r="W127" s="1006"/>
      <c r="X127" s="1006"/>
      <c r="Y127" s="1006"/>
      <c r="Z127" s="1006"/>
    </row>
    <row r="128">
      <c r="A128" s="2744"/>
      <c r="B128" s="2744"/>
      <c r="C128" s="2744"/>
      <c r="D128" s="2744"/>
      <c r="E128" s="2744"/>
      <c r="F128" s="2744"/>
      <c r="G128" s="2744"/>
      <c r="H128" s="2744"/>
      <c r="I128" s="2745"/>
      <c r="J128" s="2744"/>
      <c r="K128" s="2744"/>
      <c r="L128" s="2744"/>
      <c r="M128" s="2744"/>
      <c r="N128" s="2744"/>
      <c r="O128" s="2744"/>
      <c r="P128" s="2744"/>
      <c r="Q128" s="2744"/>
      <c r="R128" s="2744"/>
      <c r="S128" s="2744"/>
      <c r="T128" s="1006"/>
      <c r="U128" s="1006"/>
      <c r="V128" s="1006"/>
      <c r="W128" s="1006"/>
      <c r="X128" s="1006"/>
      <c r="Y128" s="1006"/>
      <c r="Z128" s="1006"/>
    </row>
    <row r="129">
      <c r="A129" s="2744"/>
      <c r="B129" s="2744"/>
      <c r="C129" s="2744"/>
      <c r="D129" s="2744"/>
      <c r="E129" s="2744"/>
      <c r="F129" s="2744"/>
      <c r="G129" s="2744"/>
      <c r="H129" s="2744"/>
      <c r="I129" s="2745"/>
      <c r="J129" s="2744"/>
      <c r="K129" s="2744"/>
      <c r="L129" s="2744"/>
      <c r="M129" s="2744"/>
      <c r="N129" s="2744"/>
      <c r="O129" s="2744"/>
      <c r="P129" s="2744"/>
      <c r="Q129" s="2744"/>
      <c r="R129" s="2744"/>
      <c r="S129" s="2744"/>
      <c r="T129" s="1006"/>
      <c r="U129" s="1006"/>
      <c r="V129" s="1006"/>
      <c r="W129" s="1006"/>
      <c r="X129" s="1006"/>
      <c r="Y129" s="1006"/>
      <c r="Z129" s="1006"/>
    </row>
    <row r="130">
      <c r="A130" s="2744"/>
      <c r="B130" s="2744"/>
      <c r="C130" s="2744"/>
      <c r="D130" s="2744"/>
      <c r="E130" s="2744"/>
      <c r="F130" s="2744"/>
      <c r="G130" s="2744"/>
      <c r="H130" s="2744"/>
      <c r="I130" s="2745"/>
      <c r="J130" s="2744"/>
      <c r="K130" s="2744"/>
      <c r="L130" s="2744"/>
      <c r="M130" s="2744"/>
      <c r="N130" s="2744"/>
      <c r="O130" s="2744"/>
      <c r="P130" s="2744"/>
      <c r="Q130" s="2744"/>
      <c r="R130" s="2744"/>
      <c r="S130" s="2744"/>
      <c r="T130" s="1006"/>
      <c r="U130" s="1006"/>
      <c r="V130" s="1006"/>
      <c r="W130" s="1006"/>
      <c r="X130" s="1006"/>
      <c r="Y130" s="1006"/>
      <c r="Z130" s="1006"/>
    </row>
    <row r="131">
      <c r="A131" s="2744"/>
      <c r="B131" s="2744"/>
      <c r="C131" s="2744"/>
      <c r="D131" s="2744"/>
      <c r="E131" s="2744"/>
      <c r="F131" s="2744"/>
      <c r="G131" s="2744"/>
      <c r="H131" s="2744"/>
      <c r="I131" s="2745"/>
      <c r="J131" s="2744"/>
      <c r="K131" s="2744"/>
      <c r="L131" s="2744"/>
      <c r="M131" s="2744"/>
      <c r="N131" s="2744"/>
      <c r="O131" s="2744"/>
      <c r="P131" s="2744"/>
      <c r="Q131" s="2744"/>
      <c r="R131" s="2744"/>
      <c r="S131" s="2744"/>
      <c r="T131" s="1006"/>
      <c r="U131" s="1006"/>
      <c r="V131" s="1006"/>
      <c r="W131" s="1006"/>
      <c r="X131" s="1006"/>
      <c r="Y131" s="1006"/>
      <c r="Z131" s="1006"/>
    </row>
    <row r="132">
      <c r="A132" s="2744"/>
      <c r="B132" s="2744"/>
      <c r="C132" s="2744"/>
      <c r="D132" s="2744"/>
      <c r="E132" s="2744"/>
      <c r="F132" s="2744"/>
      <c r="G132" s="2744"/>
      <c r="H132" s="2744"/>
      <c r="I132" s="2745"/>
      <c r="J132" s="2744"/>
      <c r="K132" s="2744"/>
      <c r="L132" s="2744"/>
      <c r="M132" s="2744"/>
      <c r="N132" s="2744"/>
      <c r="O132" s="2744"/>
      <c r="P132" s="2744"/>
      <c r="Q132" s="2744"/>
      <c r="R132" s="2744"/>
      <c r="S132" s="2744"/>
      <c r="T132" s="1006"/>
      <c r="U132" s="1006"/>
      <c r="V132" s="1006"/>
      <c r="W132" s="1006"/>
      <c r="X132" s="1006"/>
      <c r="Y132" s="1006"/>
      <c r="Z132" s="1006"/>
    </row>
    <row r="133">
      <c r="A133" s="2744"/>
      <c r="B133" s="2744"/>
      <c r="C133" s="2744"/>
      <c r="D133" s="2744"/>
      <c r="E133" s="2744"/>
      <c r="F133" s="2744"/>
      <c r="G133" s="2744"/>
      <c r="H133" s="2744"/>
      <c r="I133" s="2745"/>
      <c r="J133" s="2744"/>
      <c r="K133" s="2744"/>
      <c r="L133" s="2744"/>
      <c r="M133" s="2744"/>
      <c r="N133" s="2744"/>
      <c r="O133" s="2744"/>
      <c r="P133" s="2744"/>
      <c r="Q133" s="2744"/>
      <c r="R133" s="2744"/>
      <c r="S133" s="2744"/>
      <c r="T133" s="1006"/>
      <c r="U133" s="1006"/>
      <c r="V133" s="1006"/>
      <c r="W133" s="1006"/>
      <c r="X133" s="1006"/>
      <c r="Y133" s="1006"/>
      <c r="Z133" s="1006"/>
    </row>
    <row r="134">
      <c r="A134" s="2744"/>
      <c r="B134" s="2744"/>
      <c r="C134" s="2744"/>
      <c r="D134" s="2744"/>
      <c r="E134" s="2744"/>
      <c r="F134" s="2744"/>
      <c r="G134" s="2744"/>
      <c r="H134" s="2744"/>
      <c r="I134" s="2745"/>
      <c r="J134" s="2744"/>
      <c r="K134" s="2744"/>
      <c r="L134" s="2744"/>
      <c r="M134" s="2744"/>
      <c r="N134" s="2744"/>
      <c r="O134" s="2744"/>
      <c r="P134" s="2744"/>
      <c r="Q134" s="2744"/>
      <c r="R134" s="2744"/>
      <c r="S134" s="2744"/>
      <c r="T134" s="1006"/>
      <c r="U134" s="1006"/>
      <c r="V134" s="1006"/>
      <c r="W134" s="1006"/>
      <c r="X134" s="1006"/>
      <c r="Y134" s="1006"/>
      <c r="Z134" s="1006"/>
    </row>
    <row r="135">
      <c r="A135" s="2744"/>
      <c r="B135" s="2744"/>
      <c r="C135" s="2744"/>
      <c r="D135" s="2744"/>
      <c r="E135" s="2744"/>
      <c r="F135" s="2744"/>
      <c r="G135" s="2744"/>
      <c r="H135" s="2744"/>
      <c r="I135" s="2745"/>
      <c r="J135" s="2744"/>
      <c r="K135" s="2744"/>
      <c r="L135" s="2744"/>
      <c r="M135" s="2744"/>
      <c r="N135" s="2744"/>
      <c r="O135" s="2744"/>
      <c r="P135" s="2744"/>
      <c r="Q135" s="2744"/>
      <c r="R135" s="2744"/>
      <c r="S135" s="2744"/>
      <c r="T135" s="1006"/>
      <c r="U135" s="1006"/>
      <c r="V135" s="1006"/>
      <c r="W135" s="1006"/>
      <c r="X135" s="1006"/>
      <c r="Y135" s="1006"/>
      <c r="Z135" s="1006"/>
    </row>
    <row r="136">
      <c r="A136" s="2744"/>
      <c r="B136" s="2744"/>
      <c r="C136" s="2744"/>
      <c r="D136" s="2744"/>
      <c r="E136" s="2744"/>
      <c r="F136" s="2744"/>
      <c r="G136" s="2744"/>
      <c r="H136" s="2744"/>
      <c r="I136" s="2745"/>
      <c r="J136" s="2744"/>
      <c r="K136" s="2744"/>
      <c r="L136" s="2744"/>
      <c r="M136" s="2744"/>
      <c r="N136" s="2744"/>
      <c r="O136" s="2744"/>
      <c r="P136" s="2744"/>
      <c r="Q136" s="2744"/>
      <c r="R136" s="2744"/>
      <c r="S136" s="2744"/>
      <c r="T136" s="1006"/>
      <c r="U136" s="1006"/>
      <c r="V136" s="1006"/>
      <c r="W136" s="1006"/>
      <c r="X136" s="1006"/>
      <c r="Y136" s="1006"/>
      <c r="Z136" s="1006"/>
    </row>
    <row r="137">
      <c r="A137" s="2744"/>
      <c r="B137" s="2744"/>
      <c r="C137" s="2744"/>
      <c r="D137" s="2744"/>
      <c r="E137" s="2744"/>
      <c r="F137" s="2744"/>
      <c r="G137" s="2744"/>
      <c r="H137" s="2744"/>
      <c r="I137" s="2745"/>
      <c r="J137" s="2744"/>
      <c r="K137" s="2744"/>
      <c r="L137" s="2744"/>
      <c r="M137" s="2744"/>
      <c r="N137" s="2744"/>
      <c r="O137" s="2744"/>
      <c r="P137" s="2744"/>
      <c r="Q137" s="2744"/>
      <c r="R137" s="2744"/>
      <c r="S137" s="2744"/>
      <c r="T137" s="1006"/>
      <c r="U137" s="1006"/>
      <c r="V137" s="1006"/>
      <c r="W137" s="1006"/>
      <c r="X137" s="1006"/>
      <c r="Y137" s="1006"/>
      <c r="Z137" s="1006"/>
    </row>
    <row r="138">
      <c r="A138" s="2744"/>
      <c r="B138" s="2744"/>
      <c r="C138" s="2744"/>
      <c r="D138" s="2744"/>
      <c r="E138" s="2744"/>
      <c r="F138" s="2744"/>
      <c r="G138" s="2744"/>
      <c r="H138" s="2744"/>
      <c r="I138" s="2745"/>
      <c r="J138" s="2744"/>
      <c r="K138" s="2744"/>
      <c r="L138" s="2744"/>
      <c r="M138" s="2744"/>
      <c r="N138" s="2744"/>
      <c r="O138" s="2744"/>
      <c r="P138" s="2744"/>
      <c r="Q138" s="2744"/>
      <c r="R138" s="2744"/>
      <c r="S138" s="2744"/>
      <c r="T138" s="1006"/>
      <c r="U138" s="1006"/>
      <c r="V138" s="1006"/>
      <c r="W138" s="1006"/>
      <c r="X138" s="1006"/>
      <c r="Y138" s="1006"/>
      <c r="Z138" s="1006"/>
    </row>
    <row r="139">
      <c r="A139" s="2744"/>
      <c r="B139" s="2744"/>
      <c r="C139" s="2744"/>
      <c r="D139" s="2744"/>
      <c r="E139" s="2744"/>
      <c r="F139" s="2744"/>
      <c r="G139" s="2744"/>
      <c r="H139" s="2744"/>
      <c r="I139" s="2745"/>
      <c r="J139" s="2744"/>
      <c r="K139" s="2744"/>
      <c r="L139" s="2744"/>
      <c r="M139" s="2744"/>
      <c r="N139" s="2744"/>
      <c r="O139" s="2744"/>
      <c r="P139" s="2744"/>
      <c r="Q139" s="2744"/>
      <c r="R139" s="2744"/>
      <c r="S139" s="2744"/>
      <c r="T139" s="1006"/>
      <c r="U139" s="1006"/>
      <c r="V139" s="1006"/>
      <c r="W139" s="1006"/>
      <c r="X139" s="1006"/>
      <c r="Y139" s="1006"/>
      <c r="Z139" s="1006"/>
    </row>
    <row r="140">
      <c r="A140" s="2744"/>
      <c r="B140" s="2744"/>
      <c r="C140" s="2744"/>
      <c r="D140" s="2744"/>
      <c r="E140" s="2744"/>
      <c r="F140" s="2744"/>
      <c r="G140" s="2744"/>
      <c r="H140" s="2744"/>
      <c r="I140" s="2745"/>
      <c r="J140" s="2744"/>
      <c r="K140" s="2744"/>
      <c r="L140" s="2744"/>
      <c r="M140" s="2744"/>
      <c r="N140" s="2744"/>
      <c r="O140" s="2744"/>
      <c r="P140" s="2744"/>
      <c r="Q140" s="2744"/>
      <c r="R140" s="2744"/>
      <c r="S140" s="2744"/>
      <c r="T140" s="1006"/>
      <c r="U140" s="1006"/>
      <c r="V140" s="1006"/>
      <c r="W140" s="1006"/>
      <c r="X140" s="1006"/>
      <c r="Y140" s="1006"/>
      <c r="Z140" s="1006"/>
    </row>
    <row r="141">
      <c r="A141" s="2744"/>
      <c r="B141" s="2744"/>
      <c r="C141" s="2744"/>
      <c r="D141" s="2744"/>
      <c r="E141" s="2744"/>
      <c r="F141" s="2744"/>
      <c r="G141" s="2744"/>
      <c r="H141" s="2744"/>
      <c r="I141" s="2745"/>
      <c r="J141" s="2744"/>
      <c r="K141" s="2744"/>
      <c r="L141" s="2744"/>
      <c r="M141" s="2744"/>
      <c r="N141" s="2744"/>
      <c r="O141" s="2744"/>
      <c r="P141" s="2744"/>
      <c r="Q141" s="2744"/>
      <c r="R141" s="2744"/>
      <c r="S141" s="2744"/>
      <c r="T141" s="1006"/>
      <c r="U141" s="1006"/>
      <c r="V141" s="1006"/>
      <c r="W141" s="1006"/>
      <c r="X141" s="1006"/>
      <c r="Y141" s="1006"/>
      <c r="Z141" s="1006"/>
    </row>
    <row r="142">
      <c r="A142" s="2744"/>
      <c r="B142" s="2744"/>
      <c r="C142" s="2744"/>
      <c r="D142" s="2744"/>
      <c r="E142" s="2744"/>
      <c r="F142" s="2744"/>
      <c r="G142" s="2744"/>
      <c r="H142" s="2744"/>
      <c r="I142" s="2745"/>
      <c r="J142" s="2744"/>
      <c r="K142" s="2744"/>
      <c r="L142" s="2744"/>
      <c r="M142" s="2744"/>
      <c r="N142" s="2744"/>
      <c r="O142" s="2744"/>
      <c r="P142" s="2744"/>
      <c r="Q142" s="2744"/>
      <c r="R142" s="2744"/>
      <c r="S142" s="2744"/>
      <c r="T142" s="1006"/>
      <c r="U142" s="1006"/>
      <c r="V142" s="1006"/>
      <c r="W142" s="1006"/>
      <c r="X142" s="1006"/>
      <c r="Y142" s="1006"/>
      <c r="Z142" s="1006"/>
    </row>
    <row r="143">
      <c r="A143" s="2744"/>
      <c r="B143" s="2744"/>
      <c r="C143" s="2744"/>
      <c r="D143" s="2744"/>
      <c r="E143" s="2744"/>
      <c r="F143" s="2744"/>
      <c r="G143" s="2744"/>
      <c r="H143" s="2744"/>
      <c r="I143" s="2745"/>
      <c r="J143" s="2744"/>
      <c r="K143" s="2744"/>
      <c r="L143" s="2744"/>
      <c r="M143" s="2744"/>
      <c r="N143" s="2744"/>
      <c r="O143" s="2744"/>
      <c r="P143" s="2744"/>
      <c r="Q143" s="2744"/>
      <c r="R143" s="2744"/>
      <c r="S143" s="2744"/>
      <c r="T143" s="1006"/>
      <c r="U143" s="1006"/>
      <c r="V143" s="1006"/>
      <c r="W143" s="1006"/>
      <c r="X143" s="1006"/>
      <c r="Y143" s="1006"/>
      <c r="Z143" s="1006"/>
    </row>
    <row r="144">
      <c r="A144" s="2744"/>
      <c r="B144" s="2744"/>
      <c r="C144" s="2744"/>
      <c r="D144" s="2744"/>
      <c r="E144" s="2744"/>
      <c r="F144" s="2744"/>
      <c r="G144" s="2744"/>
      <c r="H144" s="2744"/>
      <c r="I144" s="2745"/>
      <c r="J144" s="2744"/>
      <c r="K144" s="2744"/>
      <c r="L144" s="2744"/>
      <c r="M144" s="2744"/>
      <c r="N144" s="2744"/>
      <c r="O144" s="2744"/>
      <c r="P144" s="2744"/>
      <c r="Q144" s="2744"/>
      <c r="R144" s="2744"/>
      <c r="S144" s="2744"/>
      <c r="T144" s="1006"/>
      <c r="U144" s="1006"/>
      <c r="V144" s="1006"/>
      <c r="W144" s="1006"/>
      <c r="X144" s="1006"/>
      <c r="Y144" s="1006"/>
      <c r="Z144" s="1006"/>
    </row>
    <row r="145">
      <c r="A145" s="2744"/>
      <c r="B145" s="2744"/>
      <c r="C145" s="2744"/>
      <c r="D145" s="2744"/>
      <c r="E145" s="2744"/>
      <c r="F145" s="2744"/>
      <c r="G145" s="2744"/>
      <c r="H145" s="2744"/>
      <c r="I145" s="2745"/>
      <c r="J145" s="2744"/>
      <c r="K145" s="2744"/>
      <c r="L145" s="2744"/>
      <c r="M145" s="2744"/>
      <c r="N145" s="2744"/>
      <c r="O145" s="2744"/>
      <c r="P145" s="2744"/>
      <c r="Q145" s="2744"/>
      <c r="R145" s="2744"/>
      <c r="S145" s="2744"/>
      <c r="T145" s="1006"/>
      <c r="U145" s="1006"/>
      <c r="V145" s="1006"/>
      <c r="W145" s="1006"/>
      <c r="X145" s="1006"/>
      <c r="Y145" s="1006"/>
      <c r="Z145" s="1006"/>
    </row>
    <row r="146">
      <c r="A146" s="2744"/>
      <c r="B146" s="2744"/>
      <c r="C146" s="2744"/>
      <c r="D146" s="2744"/>
      <c r="E146" s="2744"/>
      <c r="F146" s="2744"/>
      <c r="G146" s="2744"/>
      <c r="H146" s="2744"/>
      <c r="I146" s="2745"/>
      <c r="J146" s="2744"/>
      <c r="K146" s="2744"/>
      <c r="L146" s="2744"/>
      <c r="M146" s="2744"/>
      <c r="N146" s="2744"/>
      <c r="O146" s="2744"/>
      <c r="P146" s="2744"/>
      <c r="Q146" s="2744"/>
      <c r="R146" s="2744"/>
      <c r="S146" s="2744"/>
      <c r="T146" s="1006"/>
      <c r="U146" s="1006"/>
      <c r="V146" s="1006"/>
      <c r="W146" s="1006"/>
      <c r="X146" s="1006"/>
      <c r="Y146" s="1006"/>
      <c r="Z146" s="1006"/>
    </row>
    <row r="147">
      <c r="A147" s="2744"/>
      <c r="B147" s="2744"/>
      <c r="C147" s="2744"/>
      <c r="D147" s="2744"/>
      <c r="E147" s="2744"/>
      <c r="F147" s="2744"/>
      <c r="G147" s="2744"/>
      <c r="H147" s="2744"/>
      <c r="I147" s="2745"/>
      <c r="J147" s="2744"/>
      <c r="K147" s="2744"/>
      <c r="L147" s="2744"/>
      <c r="M147" s="2744"/>
      <c r="N147" s="2744"/>
      <c r="O147" s="2744"/>
      <c r="P147" s="2744"/>
      <c r="Q147" s="2744"/>
      <c r="R147" s="2744"/>
      <c r="S147" s="2744"/>
      <c r="T147" s="1006"/>
      <c r="U147" s="1006"/>
      <c r="V147" s="1006"/>
      <c r="W147" s="1006"/>
      <c r="X147" s="1006"/>
      <c r="Y147" s="1006"/>
      <c r="Z147" s="1006"/>
    </row>
    <row r="148">
      <c r="A148" s="2744"/>
      <c r="B148" s="2744"/>
      <c r="C148" s="2744"/>
      <c r="D148" s="2744"/>
      <c r="E148" s="2744"/>
      <c r="F148" s="2744"/>
      <c r="G148" s="2744"/>
      <c r="H148" s="2744"/>
      <c r="I148" s="2745"/>
      <c r="J148" s="2744"/>
      <c r="K148" s="2744"/>
      <c r="L148" s="2744"/>
      <c r="M148" s="2744"/>
      <c r="N148" s="2744"/>
      <c r="O148" s="2744"/>
      <c r="P148" s="2744"/>
      <c r="Q148" s="2744"/>
      <c r="R148" s="2744"/>
      <c r="S148" s="2744"/>
      <c r="T148" s="1006"/>
      <c r="U148" s="1006"/>
      <c r="V148" s="1006"/>
      <c r="W148" s="1006"/>
      <c r="X148" s="1006"/>
      <c r="Y148" s="1006"/>
      <c r="Z148" s="1006"/>
    </row>
    <row r="149">
      <c r="A149" s="2744"/>
      <c r="B149" s="2744"/>
      <c r="C149" s="2744"/>
      <c r="D149" s="2744"/>
      <c r="E149" s="2744"/>
      <c r="F149" s="2744"/>
      <c r="G149" s="2744"/>
      <c r="H149" s="2744"/>
      <c r="I149" s="2745"/>
      <c r="J149" s="2744"/>
      <c r="K149" s="2744"/>
      <c r="L149" s="2744"/>
      <c r="M149" s="2744"/>
      <c r="N149" s="2744"/>
      <c r="O149" s="2744"/>
      <c r="P149" s="2744"/>
      <c r="Q149" s="2744"/>
      <c r="R149" s="2744"/>
      <c r="S149" s="2744"/>
      <c r="T149" s="1006"/>
      <c r="U149" s="1006"/>
      <c r="V149" s="1006"/>
      <c r="W149" s="1006"/>
      <c r="X149" s="1006"/>
      <c r="Y149" s="1006"/>
      <c r="Z149" s="1006"/>
    </row>
    <row r="150">
      <c r="A150" s="2744"/>
      <c r="B150" s="2744"/>
      <c r="C150" s="2744"/>
      <c r="D150" s="2744"/>
      <c r="E150" s="2744"/>
      <c r="F150" s="2744"/>
      <c r="G150" s="2744"/>
      <c r="H150" s="2744"/>
      <c r="I150" s="2745"/>
      <c r="J150" s="2744"/>
      <c r="K150" s="2744"/>
      <c r="L150" s="2744"/>
      <c r="M150" s="2744"/>
      <c r="N150" s="2744"/>
      <c r="O150" s="2744"/>
      <c r="P150" s="2744"/>
      <c r="Q150" s="2744"/>
      <c r="R150" s="2744"/>
      <c r="S150" s="2744"/>
      <c r="T150" s="1006"/>
      <c r="U150" s="1006"/>
      <c r="V150" s="1006"/>
      <c r="W150" s="1006"/>
      <c r="X150" s="1006"/>
      <c r="Y150" s="1006"/>
      <c r="Z150" s="1006"/>
    </row>
    <row r="151">
      <c r="A151" s="2744"/>
      <c r="B151" s="2744"/>
      <c r="C151" s="2744"/>
      <c r="D151" s="2744"/>
      <c r="E151" s="2744"/>
      <c r="F151" s="2744"/>
      <c r="G151" s="2744"/>
      <c r="H151" s="2744"/>
      <c r="I151" s="2745"/>
      <c r="J151" s="2744"/>
      <c r="K151" s="2744"/>
      <c r="L151" s="2744"/>
      <c r="M151" s="2744"/>
      <c r="N151" s="2744"/>
      <c r="O151" s="2744"/>
      <c r="P151" s="2744"/>
      <c r="Q151" s="2744"/>
      <c r="R151" s="2744"/>
      <c r="S151" s="2744"/>
      <c r="T151" s="1006"/>
      <c r="U151" s="1006"/>
      <c r="V151" s="1006"/>
      <c r="W151" s="1006"/>
      <c r="X151" s="1006"/>
      <c r="Y151" s="1006"/>
      <c r="Z151" s="1006"/>
    </row>
    <row r="152">
      <c r="A152" s="2744"/>
      <c r="B152" s="2744"/>
      <c r="C152" s="2744"/>
      <c r="D152" s="2744"/>
      <c r="E152" s="2744"/>
      <c r="F152" s="2744"/>
      <c r="G152" s="2744"/>
      <c r="H152" s="2744"/>
      <c r="I152" s="2745"/>
      <c r="J152" s="2744"/>
      <c r="K152" s="2744"/>
      <c r="L152" s="2744"/>
      <c r="M152" s="2744"/>
      <c r="N152" s="2744"/>
      <c r="O152" s="2744"/>
      <c r="P152" s="2744"/>
      <c r="Q152" s="2744"/>
      <c r="R152" s="2744"/>
      <c r="S152" s="2744"/>
      <c r="T152" s="1006"/>
      <c r="U152" s="1006"/>
      <c r="V152" s="1006"/>
      <c r="W152" s="1006"/>
      <c r="X152" s="1006"/>
      <c r="Y152" s="1006"/>
      <c r="Z152" s="1006"/>
    </row>
    <row r="153">
      <c r="A153" s="2744"/>
      <c r="B153" s="2744"/>
      <c r="C153" s="2744"/>
      <c r="D153" s="2744"/>
      <c r="E153" s="2744"/>
      <c r="F153" s="2744"/>
      <c r="G153" s="2744"/>
      <c r="H153" s="2744"/>
      <c r="I153" s="2745"/>
      <c r="J153" s="2744"/>
      <c r="K153" s="2744"/>
      <c r="L153" s="2744"/>
      <c r="M153" s="2744"/>
      <c r="N153" s="2744"/>
      <c r="O153" s="2744"/>
      <c r="P153" s="2744"/>
      <c r="Q153" s="2744"/>
      <c r="R153" s="2744"/>
      <c r="S153" s="2744"/>
      <c r="T153" s="1006"/>
      <c r="U153" s="1006"/>
      <c r="V153" s="1006"/>
      <c r="W153" s="1006"/>
      <c r="X153" s="1006"/>
      <c r="Y153" s="1006"/>
      <c r="Z153" s="1006"/>
    </row>
    <row r="154">
      <c r="A154" s="2744"/>
      <c r="B154" s="2744"/>
      <c r="C154" s="2744"/>
      <c r="D154" s="2744"/>
      <c r="E154" s="2744"/>
      <c r="F154" s="2744"/>
      <c r="G154" s="2744"/>
      <c r="H154" s="2744"/>
      <c r="I154" s="2745"/>
      <c r="J154" s="2744"/>
      <c r="K154" s="2744"/>
      <c r="L154" s="2744"/>
      <c r="M154" s="2744"/>
      <c r="N154" s="2744"/>
      <c r="O154" s="2744"/>
      <c r="P154" s="2744"/>
      <c r="Q154" s="2744"/>
      <c r="R154" s="2744"/>
      <c r="S154" s="2744"/>
      <c r="T154" s="1006"/>
      <c r="U154" s="1006"/>
      <c r="V154" s="1006"/>
      <c r="W154" s="1006"/>
      <c r="X154" s="1006"/>
      <c r="Y154" s="1006"/>
      <c r="Z154" s="1006"/>
    </row>
    <row r="155">
      <c r="A155" s="2744"/>
      <c r="B155" s="2744"/>
      <c r="C155" s="2744"/>
      <c r="D155" s="2744"/>
      <c r="E155" s="2744"/>
      <c r="F155" s="2744"/>
      <c r="G155" s="2744"/>
      <c r="H155" s="2744"/>
      <c r="I155" s="2745"/>
      <c r="J155" s="2744"/>
      <c r="K155" s="2744"/>
      <c r="L155" s="2744"/>
      <c r="M155" s="2744"/>
      <c r="N155" s="2744"/>
      <c r="O155" s="2744"/>
      <c r="P155" s="2744"/>
      <c r="Q155" s="2744"/>
      <c r="R155" s="2744"/>
      <c r="S155" s="2744"/>
      <c r="T155" s="1006"/>
      <c r="U155" s="1006"/>
      <c r="V155" s="1006"/>
      <c r="W155" s="1006"/>
      <c r="X155" s="1006"/>
      <c r="Y155" s="1006"/>
      <c r="Z155" s="1006"/>
    </row>
    <row r="156">
      <c r="A156" s="2744"/>
      <c r="B156" s="2744"/>
      <c r="C156" s="2744"/>
      <c r="D156" s="2744"/>
      <c r="E156" s="2744"/>
      <c r="F156" s="2744"/>
      <c r="G156" s="2744"/>
      <c r="H156" s="2744"/>
      <c r="I156" s="2745"/>
      <c r="J156" s="2744"/>
      <c r="K156" s="2744"/>
      <c r="L156" s="2744"/>
      <c r="M156" s="2744"/>
      <c r="N156" s="2744"/>
      <c r="O156" s="2744"/>
      <c r="P156" s="2744"/>
      <c r="Q156" s="2744"/>
      <c r="R156" s="2744"/>
      <c r="S156" s="2744"/>
      <c r="T156" s="1006"/>
      <c r="U156" s="1006"/>
      <c r="V156" s="1006"/>
      <c r="W156" s="1006"/>
      <c r="X156" s="1006"/>
      <c r="Y156" s="1006"/>
      <c r="Z156" s="1006"/>
    </row>
    <row r="157">
      <c r="A157" s="2744"/>
      <c r="B157" s="2744"/>
      <c r="C157" s="2744"/>
      <c r="D157" s="2744"/>
      <c r="E157" s="2744"/>
      <c r="F157" s="2744"/>
      <c r="G157" s="2744"/>
      <c r="H157" s="2744"/>
      <c r="I157" s="2745"/>
      <c r="J157" s="2744"/>
      <c r="K157" s="2744"/>
      <c r="L157" s="2744"/>
      <c r="M157" s="2744"/>
      <c r="N157" s="2744"/>
      <c r="O157" s="2744"/>
      <c r="P157" s="2744"/>
      <c r="Q157" s="2744"/>
      <c r="R157" s="2744"/>
      <c r="S157" s="2744"/>
      <c r="T157" s="1006"/>
      <c r="U157" s="1006"/>
      <c r="V157" s="1006"/>
      <c r="W157" s="1006"/>
      <c r="X157" s="1006"/>
      <c r="Y157" s="1006"/>
      <c r="Z157" s="1006"/>
    </row>
    <row r="158">
      <c r="A158" s="2744"/>
      <c r="B158" s="2744"/>
      <c r="C158" s="2744"/>
      <c r="D158" s="2744"/>
      <c r="E158" s="2744"/>
      <c r="F158" s="2744"/>
      <c r="G158" s="2744"/>
      <c r="H158" s="2744"/>
      <c r="I158" s="2745"/>
      <c r="J158" s="2744"/>
      <c r="K158" s="2744"/>
      <c r="L158" s="2744"/>
      <c r="M158" s="2744"/>
      <c r="N158" s="2744"/>
      <c r="O158" s="2744"/>
      <c r="P158" s="2744"/>
      <c r="Q158" s="2744"/>
      <c r="R158" s="2744"/>
      <c r="S158" s="2744"/>
      <c r="T158" s="1006"/>
      <c r="U158" s="1006"/>
      <c r="V158" s="1006"/>
      <c r="W158" s="1006"/>
      <c r="X158" s="1006"/>
      <c r="Y158" s="1006"/>
      <c r="Z158" s="1006"/>
    </row>
    <row r="159">
      <c r="A159" s="2744"/>
      <c r="B159" s="2744"/>
      <c r="C159" s="2744"/>
      <c r="D159" s="2744"/>
      <c r="E159" s="2744"/>
      <c r="F159" s="2744"/>
      <c r="G159" s="2744"/>
      <c r="H159" s="2744"/>
      <c r="I159" s="2745"/>
      <c r="J159" s="2744"/>
      <c r="K159" s="2744"/>
      <c r="L159" s="2744"/>
      <c r="M159" s="2744"/>
      <c r="N159" s="2744"/>
      <c r="O159" s="2744"/>
      <c r="P159" s="2744"/>
      <c r="Q159" s="2744"/>
      <c r="R159" s="2744"/>
      <c r="S159" s="2744"/>
      <c r="T159" s="1006"/>
      <c r="U159" s="1006"/>
      <c r="V159" s="1006"/>
      <c r="W159" s="1006"/>
      <c r="X159" s="1006"/>
      <c r="Y159" s="1006"/>
      <c r="Z159" s="1006"/>
    </row>
    <row r="160">
      <c r="A160" s="2744"/>
      <c r="B160" s="2744"/>
      <c r="C160" s="2744"/>
      <c r="D160" s="2744"/>
      <c r="E160" s="2744"/>
      <c r="F160" s="2744"/>
      <c r="G160" s="2744"/>
      <c r="H160" s="2744"/>
      <c r="I160" s="2745"/>
      <c r="J160" s="2744"/>
      <c r="K160" s="2744"/>
      <c r="L160" s="2744"/>
      <c r="M160" s="2744"/>
      <c r="N160" s="2744"/>
      <c r="O160" s="2744"/>
      <c r="P160" s="2744"/>
      <c r="Q160" s="2744"/>
      <c r="R160" s="2744"/>
      <c r="S160" s="2744"/>
      <c r="T160" s="1006"/>
      <c r="U160" s="1006"/>
      <c r="V160" s="1006"/>
      <c r="W160" s="1006"/>
      <c r="X160" s="1006"/>
      <c r="Y160" s="1006"/>
      <c r="Z160" s="1006"/>
    </row>
    <row r="161">
      <c r="A161" s="2744"/>
      <c r="B161" s="2744"/>
      <c r="C161" s="2744"/>
      <c r="D161" s="2744"/>
      <c r="E161" s="2744"/>
      <c r="F161" s="2744"/>
      <c r="G161" s="2744"/>
      <c r="H161" s="2744"/>
      <c r="I161" s="2745"/>
      <c r="J161" s="2744"/>
      <c r="K161" s="2744"/>
      <c r="L161" s="2744"/>
      <c r="M161" s="2744"/>
      <c r="N161" s="2744"/>
      <c r="O161" s="2744"/>
      <c r="P161" s="2744"/>
      <c r="Q161" s="2744"/>
      <c r="R161" s="2744"/>
      <c r="S161" s="2744"/>
      <c r="T161" s="1006"/>
      <c r="U161" s="1006"/>
      <c r="V161" s="1006"/>
      <c r="W161" s="1006"/>
      <c r="X161" s="1006"/>
      <c r="Y161" s="1006"/>
      <c r="Z161" s="1006"/>
    </row>
    <row r="162">
      <c r="A162" s="2744"/>
      <c r="B162" s="2744"/>
      <c r="C162" s="2744"/>
      <c r="D162" s="2744"/>
      <c r="E162" s="2744"/>
      <c r="F162" s="2744"/>
      <c r="G162" s="2744"/>
      <c r="H162" s="2744"/>
      <c r="I162" s="2745"/>
      <c r="J162" s="2744"/>
      <c r="K162" s="2744"/>
      <c r="L162" s="2744"/>
      <c r="M162" s="2744"/>
      <c r="N162" s="2744"/>
      <c r="O162" s="2744"/>
      <c r="P162" s="2744"/>
      <c r="Q162" s="2744"/>
      <c r="R162" s="2744"/>
      <c r="S162" s="2744"/>
      <c r="T162" s="1006"/>
      <c r="U162" s="1006"/>
      <c r="V162" s="1006"/>
      <c r="W162" s="1006"/>
      <c r="X162" s="1006"/>
      <c r="Y162" s="1006"/>
      <c r="Z162" s="1006"/>
    </row>
    <row r="163">
      <c r="A163" s="2744"/>
      <c r="B163" s="2744"/>
      <c r="C163" s="2744"/>
      <c r="D163" s="2744"/>
      <c r="E163" s="2744"/>
      <c r="F163" s="2744"/>
      <c r="G163" s="2744"/>
      <c r="H163" s="2744"/>
      <c r="I163" s="2745"/>
      <c r="J163" s="2744"/>
      <c r="K163" s="2744"/>
      <c r="L163" s="2744"/>
      <c r="M163" s="2744"/>
      <c r="N163" s="2744"/>
      <c r="O163" s="2744"/>
      <c r="P163" s="2744"/>
      <c r="Q163" s="2744"/>
      <c r="R163" s="2744"/>
      <c r="S163" s="2744"/>
      <c r="T163" s="1006"/>
      <c r="U163" s="1006"/>
      <c r="V163" s="1006"/>
      <c r="W163" s="1006"/>
      <c r="X163" s="1006"/>
      <c r="Y163" s="1006"/>
      <c r="Z163" s="1006"/>
    </row>
    <row r="164">
      <c r="A164" s="2744"/>
      <c r="B164" s="2744"/>
      <c r="C164" s="2744"/>
      <c r="D164" s="2744"/>
      <c r="E164" s="2744"/>
      <c r="F164" s="2744"/>
      <c r="G164" s="2744"/>
      <c r="H164" s="2744"/>
      <c r="I164" s="2745"/>
      <c r="J164" s="2744"/>
      <c r="K164" s="2744"/>
      <c r="L164" s="2744"/>
      <c r="M164" s="2744"/>
      <c r="N164" s="2744"/>
      <c r="O164" s="2744"/>
      <c r="P164" s="2744"/>
      <c r="Q164" s="2744"/>
      <c r="R164" s="2744"/>
      <c r="S164" s="2744"/>
      <c r="T164" s="1006"/>
      <c r="U164" s="1006"/>
      <c r="V164" s="1006"/>
      <c r="W164" s="1006"/>
      <c r="X164" s="1006"/>
      <c r="Y164" s="1006"/>
      <c r="Z164" s="1006"/>
    </row>
    <row r="165">
      <c r="A165" s="2744"/>
      <c r="B165" s="2744"/>
      <c r="C165" s="2744"/>
      <c r="D165" s="2744"/>
      <c r="E165" s="2744"/>
      <c r="F165" s="2744"/>
      <c r="G165" s="2744"/>
      <c r="H165" s="2744"/>
      <c r="I165" s="2745"/>
      <c r="J165" s="2744"/>
      <c r="K165" s="2744"/>
      <c r="L165" s="2744"/>
      <c r="M165" s="2744"/>
      <c r="N165" s="2744"/>
      <c r="O165" s="2744"/>
      <c r="P165" s="2744"/>
      <c r="Q165" s="2744"/>
      <c r="R165" s="2744"/>
      <c r="S165" s="2744"/>
      <c r="T165" s="1006"/>
      <c r="U165" s="1006"/>
      <c r="V165" s="1006"/>
      <c r="W165" s="1006"/>
      <c r="X165" s="1006"/>
      <c r="Y165" s="1006"/>
      <c r="Z165" s="1006"/>
    </row>
    <row r="166">
      <c r="A166" s="2744"/>
      <c r="B166" s="2744"/>
      <c r="C166" s="2744"/>
      <c r="D166" s="2744"/>
      <c r="E166" s="2744"/>
      <c r="F166" s="2744"/>
      <c r="G166" s="2744"/>
      <c r="H166" s="2744"/>
      <c r="I166" s="2745"/>
      <c r="J166" s="2744"/>
      <c r="K166" s="2744"/>
      <c r="L166" s="2744"/>
      <c r="M166" s="2744"/>
      <c r="N166" s="2744"/>
      <c r="O166" s="2744"/>
      <c r="P166" s="2744"/>
      <c r="Q166" s="2744"/>
      <c r="R166" s="2744"/>
      <c r="S166" s="2744"/>
      <c r="T166" s="1006"/>
      <c r="U166" s="1006"/>
      <c r="V166" s="1006"/>
      <c r="W166" s="1006"/>
      <c r="X166" s="1006"/>
      <c r="Y166" s="1006"/>
      <c r="Z166" s="1006"/>
    </row>
    <row r="167">
      <c r="A167" s="2744"/>
      <c r="B167" s="2744"/>
      <c r="C167" s="2744"/>
      <c r="D167" s="2744"/>
      <c r="E167" s="2744"/>
      <c r="F167" s="2744"/>
      <c r="G167" s="2744"/>
      <c r="H167" s="2744"/>
      <c r="I167" s="2745"/>
      <c r="J167" s="2744"/>
      <c r="K167" s="2744"/>
      <c r="L167" s="2744"/>
      <c r="M167" s="2744"/>
      <c r="N167" s="2744"/>
      <c r="O167" s="2744"/>
      <c r="P167" s="2744"/>
      <c r="Q167" s="2744"/>
      <c r="R167" s="2744"/>
      <c r="S167" s="2744"/>
      <c r="T167" s="1006"/>
      <c r="U167" s="1006"/>
      <c r="V167" s="1006"/>
      <c r="W167" s="1006"/>
      <c r="X167" s="1006"/>
      <c r="Y167" s="1006"/>
      <c r="Z167" s="1006"/>
    </row>
    <row r="168">
      <c r="A168" s="2744"/>
      <c r="B168" s="2744"/>
      <c r="C168" s="2744"/>
      <c r="D168" s="2744"/>
      <c r="E168" s="2744"/>
      <c r="F168" s="2744"/>
      <c r="G168" s="2744"/>
      <c r="H168" s="2744"/>
      <c r="I168" s="2745"/>
      <c r="J168" s="2744"/>
      <c r="K168" s="2744"/>
      <c r="L168" s="2744"/>
      <c r="M168" s="2744"/>
      <c r="N168" s="2744"/>
      <c r="O168" s="2744"/>
      <c r="P168" s="2744"/>
      <c r="Q168" s="2744"/>
      <c r="R168" s="2744"/>
      <c r="S168" s="2744"/>
      <c r="T168" s="1006"/>
      <c r="U168" s="1006"/>
      <c r="V168" s="1006"/>
      <c r="W168" s="1006"/>
      <c r="X168" s="1006"/>
      <c r="Y168" s="1006"/>
      <c r="Z168" s="1006"/>
    </row>
    <row r="169">
      <c r="A169" s="2744"/>
      <c r="B169" s="2744"/>
      <c r="C169" s="2744"/>
      <c r="D169" s="2744"/>
      <c r="E169" s="2744"/>
      <c r="F169" s="2744"/>
      <c r="G169" s="2744"/>
      <c r="H169" s="2744"/>
      <c r="I169" s="2745"/>
      <c r="J169" s="2744"/>
      <c r="K169" s="2744"/>
      <c r="L169" s="2744"/>
      <c r="M169" s="2744"/>
      <c r="N169" s="2744"/>
      <c r="O169" s="2744"/>
      <c r="P169" s="2744"/>
      <c r="Q169" s="2744"/>
      <c r="R169" s="2744"/>
      <c r="S169" s="2744"/>
      <c r="T169" s="1006"/>
      <c r="U169" s="1006"/>
      <c r="V169" s="1006"/>
      <c r="W169" s="1006"/>
      <c r="X169" s="1006"/>
      <c r="Y169" s="1006"/>
      <c r="Z169" s="1006"/>
    </row>
    <row r="170">
      <c r="A170" s="2744"/>
      <c r="B170" s="2744"/>
      <c r="C170" s="2744"/>
      <c r="D170" s="2744"/>
      <c r="E170" s="2744"/>
      <c r="F170" s="2744"/>
      <c r="G170" s="2744"/>
      <c r="H170" s="2744"/>
      <c r="I170" s="2745"/>
      <c r="J170" s="2744"/>
      <c r="K170" s="2744"/>
      <c r="L170" s="2744"/>
      <c r="M170" s="2744"/>
      <c r="N170" s="2744"/>
      <c r="O170" s="2744"/>
      <c r="P170" s="2744"/>
      <c r="Q170" s="2744"/>
      <c r="R170" s="2744"/>
      <c r="S170" s="2744"/>
      <c r="T170" s="1006"/>
      <c r="U170" s="1006"/>
      <c r="V170" s="1006"/>
      <c r="W170" s="1006"/>
      <c r="X170" s="1006"/>
      <c r="Y170" s="1006"/>
      <c r="Z170" s="1006"/>
    </row>
    <row r="171">
      <c r="A171" s="2744"/>
      <c r="B171" s="2744"/>
      <c r="C171" s="2744"/>
      <c r="D171" s="2744"/>
      <c r="E171" s="2744"/>
      <c r="F171" s="2744"/>
      <c r="G171" s="2744"/>
      <c r="H171" s="2744"/>
      <c r="I171" s="2745"/>
      <c r="J171" s="2744"/>
      <c r="K171" s="2744"/>
      <c r="L171" s="2744"/>
      <c r="M171" s="2744"/>
      <c r="N171" s="2744"/>
      <c r="O171" s="2744"/>
      <c r="P171" s="2744"/>
      <c r="Q171" s="2744"/>
      <c r="R171" s="2744"/>
      <c r="S171" s="2744"/>
      <c r="T171" s="1006"/>
      <c r="U171" s="1006"/>
      <c r="V171" s="1006"/>
      <c r="W171" s="1006"/>
      <c r="X171" s="1006"/>
      <c r="Y171" s="1006"/>
      <c r="Z171" s="1006"/>
    </row>
    <row r="172">
      <c r="A172" s="2744"/>
      <c r="B172" s="2744"/>
      <c r="C172" s="2744"/>
      <c r="D172" s="2744"/>
      <c r="E172" s="2744"/>
      <c r="F172" s="2744"/>
      <c r="G172" s="2744"/>
      <c r="H172" s="2744"/>
      <c r="I172" s="2745"/>
      <c r="J172" s="2744"/>
      <c r="K172" s="2744"/>
      <c r="L172" s="2744"/>
      <c r="M172" s="2744"/>
      <c r="N172" s="2744"/>
      <c r="O172" s="2744"/>
      <c r="P172" s="2744"/>
      <c r="Q172" s="2744"/>
      <c r="R172" s="2744"/>
      <c r="S172" s="2744"/>
      <c r="T172" s="1006"/>
      <c r="U172" s="1006"/>
      <c r="V172" s="1006"/>
      <c r="W172" s="1006"/>
      <c r="X172" s="1006"/>
      <c r="Y172" s="1006"/>
      <c r="Z172" s="1006"/>
    </row>
    <row r="173">
      <c r="A173" s="2744"/>
      <c r="B173" s="2744"/>
      <c r="C173" s="2744"/>
      <c r="D173" s="2744"/>
      <c r="E173" s="2744"/>
      <c r="F173" s="2744"/>
      <c r="G173" s="2744"/>
      <c r="H173" s="2744"/>
      <c r="I173" s="2745"/>
      <c r="J173" s="2744"/>
      <c r="K173" s="2744"/>
      <c r="L173" s="2744"/>
      <c r="M173" s="2744"/>
      <c r="N173" s="2744"/>
      <c r="O173" s="2744"/>
      <c r="P173" s="2744"/>
      <c r="Q173" s="2744"/>
      <c r="R173" s="2744"/>
      <c r="S173" s="2744"/>
      <c r="T173" s="1006"/>
      <c r="U173" s="1006"/>
      <c r="V173" s="1006"/>
      <c r="W173" s="1006"/>
      <c r="X173" s="1006"/>
      <c r="Y173" s="1006"/>
      <c r="Z173" s="1006"/>
    </row>
    <row r="174">
      <c r="A174" s="2744"/>
      <c r="B174" s="2744"/>
      <c r="C174" s="2744"/>
      <c r="D174" s="2744"/>
      <c r="E174" s="2744"/>
      <c r="F174" s="2744"/>
      <c r="G174" s="2744"/>
      <c r="H174" s="2744"/>
      <c r="I174" s="2745"/>
      <c r="J174" s="2744"/>
      <c r="K174" s="2744"/>
      <c r="L174" s="2744"/>
      <c r="M174" s="2744"/>
      <c r="N174" s="2744"/>
      <c r="O174" s="2744"/>
      <c r="P174" s="2744"/>
      <c r="Q174" s="2744"/>
      <c r="R174" s="2744"/>
      <c r="S174" s="2744"/>
      <c r="T174" s="1006"/>
      <c r="U174" s="1006"/>
      <c r="V174" s="1006"/>
      <c r="W174" s="1006"/>
      <c r="X174" s="1006"/>
      <c r="Y174" s="1006"/>
      <c r="Z174" s="1006"/>
    </row>
    <row r="175">
      <c r="A175" s="2744"/>
      <c r="B175" s="2744"/>
      <c r="C175" s="2744"/>
      <c r="D175" s="2744"/>
      <c r="E175" s="2744"/>
      <c r="F175" s="2744"/>
      <c r="G175" s="2744"/>
      <c r="H175" s="2744"/>
      <c r="I175" s="2745"/>
      <c r="J175" s="2744"/>
      <c r="K175" s="2744"/>
      <c r="L175" s="2744"/>
      <c r="M175" s="2744"/>
      <c r="N175" s="2744"/>
      <c r="O175" s="2744"/>
      <c r="P175" s="2744"/>
      <c r="Q175" s="2744"/>
      <c r="R175" s="2744"/>
      <c r="S175" s="2744"/>
      <c r="T175" s="1006"/>
      <c r="U175" s="1006"/>
      <c r="V175" s="1006"/>
      <c r="W175" s="1006"/>
      <c r="X175" s="1006"/>
      <c r="Y175" s="1006"/>
      <c r="Z175" s="1006"/>
    </row>
    <row r="176">
      <c r="A176" s="2744"/>
      <c r="B176" s="2744"/>
      <c r="C176" s="2744"/>
      <c r="D176" s="2744"/>
      <c r="E176" s="2744"/>
      <c r="F176" s="2744"/>
      <c r="G176" s="2744"/>
      <c r="H176" s="2744"/>
      <c r="I176" s="2745"/>
      <c r="J176" s="2744"/>
      <c r="K176" s="2744"/>
      <c r="L176" s="2744"/>
      <c r="M176" s="2744"/>
      <c r="N176" s="2744"/>
      <c r="O176" s="2744"/>
      <c r="P176" s="2744"/>
      <c r="Q176" s="2744"/>
      <c r="R176" s="2744"/>
      <c r="S176" s="2744"/>
      <c r="T176" s="1006"/>
      <c r="U176" s="1006"/>
      <c r="V176" s="1006"/>
      <c r="W176" s="1006"/>
      <c r="X176" s="1006"/>
      <c r="Y176" s="1006"/>
      <c r="Z176" s="1006"/>
    </row>
    <row r="177">
      <c r="A177" s="2744"/>
      <c r="B177" s="2744"/>
      <c r="C177" s="2744"/>
      <c r="D177" s="2744"/>
      <c r="E177" s="2744"/>
      <c r="F177" s="2744"/>
      <c r="G177" s="2744"/>
      <c r="H177" s="2744"/>
      <c r="I177" s="2745"/>
      <c r="J177" s="2744"/>
      <c r="K177" s="2744"/>
      <c r="L177" s="2744"/>
      <c r="M177" s="2744"/>
      <c r="N177" s="2744"/>
      <c r="O177" s="2744"/>
      <c r="P177" s="2744"/>
      <c r="Q177" s="2744"/>
      <c r="R177" s="2744"/>
      <c r="S177" s="2744"/>
      <c r="T177" s="1006"/>
      <c r="U177" s="1006"/>
      <c r="V177" s="1006"/>
      <c r="W177" s="1006"/>
      <c r="X177" s="1006"/>
      <c r="Y177" s="1006"/>
      <c r="Z177" s="1006"/>
    </row>
    <row r="178">
      <c r="A178" s="2744"/>
      <c r="B178" s="2744"/>
      <c r="C178" s="2744"/>
      <c r="D178" s="2744"/>
      <c r="E178" s="2744"/>
      <c r="F178" s="2744"/>
      <c r="G178" s="2744"/>
      <c r="H178" s="2744"/>
      <c r="I178" s="2745"/>
      <c r="J178" s="2744"/>
      <c r="K178" s="2744"/>
      <c r="L178" s="2744"/>
      <c r="M178" s="2744"/>
      <c r="N178" s="2744"/>
      <c r="O178" s="2744"/>
      <c r="P178" s="2744"/>
      <c r="Q178" s="2744"/>
      <c r="R178" s="2744"/>
      <c r="S178" s="2744"/>
      <c r="T178" s="1006"/>
      <c r="U178" s="1006"/>
      <c r="V178" s="1006"/>
      <c r="W178" s="1006"/>
      <c r="X178" s="1006"/>
      <c r="Y178" s="1006"/>
      <c r="Z178" s="1006"/>
    </row>
    <row r="179">
      <c r="A179" s="2744"/>
      <c r="B179" s="2744"/>
      <c r="C179" s="2744"/>
      <c r="D179" s="2744"/>
      <c r="E179" s="2744"/>
      <c r="F179" s="2744"/>
      <c r="G179" s="2744"/>
      <c r="H179" s="2744"/>
      <c r="I179" s="2745"/>
      <c r="J179" s="2744"/>
      <c r="K179" s="2744"/>
      <c r="L179" s="2744"/>
      <c r="M179" s="2744"/>
      <c r="N179" s="2744"/>
      <c r="O179" s="2744"/>
      <c r="P179" s="2744"/>
      <c r="Q179" s="2744"/>
      <c r="R179" s="2744"/>
      <c r="S179" s="2744"/>
      <c r="T179" s="1006"/>
      <c r="U179" s="1006"/>
      <c r="V179" s="1006"/>
      <c r="W179" s="1006"/>
      <c r="X179" s="1006"/>
      <c r="Y179" s="1006"/>
      <c r="Z179" s="1006"/>
    </row>
    <row r="180">
      <c r="A180" s="2744"/>
      <c r="B180" s="2744"/>
      <c r="C180" s="2744"/>
      <c r="D180" s="2744"/>
      <c r="E180" s="2744"/>
      <c r="F180" s="2744"/>
      <c r="G180" s="2744"/>
      <c r="H180" s="2744"/>
      <c r="I180" s="2745"/>
      <c r="J180" s="2744"/>
      <c r="K180" s="2744"/>
      <c r="L180" s="2744"/>
      <c r="M180" s="2744"/>
      <c r="N180" s="2744"/>
      <c r="O180" s="2744"/>
      <c r="P180" s="2744"/>
      <c r="Q180" s="2744"/>
      <c r="R180" s="2744"/>
      <c r="S180" s="2744"/>
      <c r="T180" s="1006"/>
      <c r="U180" s="1006"/>
      <c r="V180" s="1006"/>
      <c r="W180" s="1006"/>
      <c r="X180" s="1006"/>
      <c r="Y180" s="1006"/>
      <c r="Z180" s="1006"/>
    </row>
    <row r="181">
      <c r="A181" s="2744"/>
      <c r="B181" s="2744"/>
      <c r="C181" s="2744"/>
      <c r="D181" s="2744"/>
      <c r="E181" s="2744"/>
      <c r="F181" s="2744"/>
      <c r="G181" s="2744"/>
      <c r="H181" s="2744"/>
      <c r="I181" s="2745"/>
      <c r="J181" s="2744"/>
      <c r="K181" s="2744"/>
      <c r="L181" s="2744"/>
      <c r="M181" s="2744"/>
      <c r="N181" s="2744"/>
      <c r="O181" s="2744"/>
      <c r="P181" s="2744"/>
      <c r="Q181" s="2744"/>
      <c r="R181" s="2744"/>
      <c r="S181" s="2744"/>
      <c r="T181" s="1006"/>
      <c r="U181" s="1006"/>
      <c r="V181" s="1006"/>
      <c r="W181" s="1006"/>
      <c r="X181" s="1006"/>
      <c r="Y181" s="1006"/>
      <c r="Z181" s="1006"/>
    </row>
    <row r="182">
      <c r="A182" s="1006"/>
      <c r="B182" s="1006"/>
      <c r="C182" s="1006"/>
      <c r="D182" s="1006"/>
      <c r="E182" s="1006"/>
      <c r="F182" s="1006"/>
      <c r="G182" s="1006"/>
      <c r="H182" s="1006"/>
      <c r="I182" s="2749"/>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2749"/>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2749"/>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2749"/>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2749"/>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2749"/>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2749"/>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2749"/>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2749"/>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2749"/>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2749"/>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2749"/>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2749"/>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2749"/>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2749"/>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2749"/>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2749"/>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2749"/>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2749"/>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2749"/>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2749"/>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2749"/>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2749"/>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2749"/>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2749"/>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2749"/>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2749"/>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2749"/>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2749"/>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2749"/>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2749"/>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2749"/>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2749"/>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2749"/>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2749"/>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2749"/>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2749"/>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2749"/>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2749"/>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2749"/>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2749"/>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2749"/>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2749"/>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2749"/>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2749"/>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2749"/>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2749"/>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2749"/>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2749"/>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2749"/>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2749"/>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2749"/>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2749"/>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2749"/>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2749"/>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2749"/>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2749"/>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2749"/>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2749"/>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2749"/>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2749"/>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2749"/>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2749"/>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2749"/>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2749"/>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2749"/>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2749"/>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2749"/>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2749"/>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2749"/>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2749"/>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2749"/>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2749"/>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2749"/>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2749"/>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2749"/>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2749"/>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2749"/>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2749"/>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2749"/>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2749"/>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2749"/>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2749"/>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2749"/>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2749"/>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2749"/>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2749"/>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2749"/>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2749"/>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2749"/>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2749"/>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2749"/>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2749"/>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2749"/>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2749"/>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2749"/>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2749"/>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2749"/>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2749"/>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2749"/>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2749"/>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2749"/>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2749"/>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2749"/>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2749"/>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2749"/>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2749"/>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2749"/>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2749"/>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2749"/>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2749"/>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2749"/>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2749"/>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2749"/>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2749"/>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2749"/>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2749"/>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2749"/>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2749"/>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2749"/>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2749"/>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2749"/>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2749"/>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2749"/>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2749"/>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2749"/>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2749"/>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2749"/>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2749"/>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2749"/>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2749"/>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2749"/>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2749"/>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2749"/>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2749"/>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2749"/>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2749"/>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2749"/>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2749"/>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2749"/>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2749"/>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2749"/>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2749"/>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2749"/>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2749"/>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2749"/>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2749"/>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2749"/>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2749"/>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2749"/>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2749"/>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2749"/>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2749"/>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2749"/>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2749"/>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2749"/>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2749"/>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2749"/>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2749"/>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2749"/>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2749"/>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2749"/>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2749"/>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2749"/>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2749"/>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2749"/>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2749"/>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2749"/>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2749"/>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2749"/>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2749"/>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2749"/>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2749"/>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2749"/>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2749"/>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2749"/>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2749"/>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2749"/>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2749"/>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2749"/>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2749"/>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2749"/>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2749"/>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2749"/>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2749"/>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2749"/>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2749"/>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2749"/>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2749"/>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2749"/>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2749"/>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2749"/>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2749"/>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2749"/>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2749"/>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2749"/>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2749"/>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2749"/>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2749"/>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2749"/>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2749"/>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2749"/>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2749"/>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2749"/>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2749"/>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2749"/>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2749"/>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2749"/>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2749"/>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2749"/>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2749"/>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2749"/>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2749"/>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2749"/>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2749"/>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2749"/>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2749"/>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2749"/>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2749"/>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2749"/>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2749"/>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2749"/>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2749"/>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2749"/>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2749"/>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2749"/>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2749"/>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2749"/>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2749"/>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2749"/>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2749"/>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2749"/>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2749"/>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2749"/>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2749"/>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2749"/>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2749"/>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2749"/>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2749"/>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2749"/>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2749"/>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2749"/>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2749"/>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2749"/>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2749"/>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2749"/>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2749"/>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2749"/>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2749"/>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2749"/>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2749"/>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2749"/>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2749"/>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2749"/>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2749"/>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2749"/>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2749"/>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2749"/>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2749"/>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2749"/>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2749"/>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2749"/>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2749"/>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2749"/>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2749"/>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2749"/>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2749"/>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2749"/>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2749"/>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2749"/>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2749"/>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2749"/>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2749"/>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2749"/>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2749"/>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2749"/>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2749"/>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2749"/>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2749"/>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2749"/>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2749"/>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2749"/>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2749"/>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2749"/>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2749"/>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2749"/>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2749"/>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2749"/>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2749"/>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2749"/>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2749"/>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2749"/>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2749"/>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2749"/>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2749"/>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2749"/>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2749"/>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2749"/>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2749"/>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2749"/>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2749"/>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2749"/>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2749"/>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2749"/>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2749"/>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2749"/>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2749"/>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2749"/>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2749"/>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2749"/>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2749"/>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2749"/>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2749"/>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2749"/>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2749"/>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2749"/>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2749"/>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2749"/>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2749"/>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2749"/>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2749"/>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2749"/>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2749"/>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2749"/>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2749"/>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2749"/>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2749"/>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2749"/>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2749"/>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2749"/>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2749"/>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2749"/>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2749"/>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2749"/>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2749"/>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2749"/>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2749"/>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2749"/>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2749"/>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2749"/>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2749"/>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2749"/>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2749"/>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2749"/>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2749"/>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2749"/>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2749"/>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2749"/>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2749"/>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2749"/>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2749"/>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2749"/>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2749"/>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2749"/>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2749"/>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2749"/>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2749"/>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2749"/>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2749"/>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2749"/>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2749"/>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2749"/>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2749"/>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2749"/>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2749"/>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2749"/>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2749"/>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2749"/>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2749"/>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2749"/>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2749"/>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2749"/>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2749"/>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2749"/>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2749"/>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2749"/>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2749"/>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2749"/>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2749"/>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2749"/>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2749"/>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2749"/>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2749"/>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2749"/>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2749"/>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2749"/>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2749"/>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2749"/>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2749"/>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2749"/>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2749"/>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2749"/>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2749"/>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2749"/>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2749"/>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2749"/>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2749"/>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2749"/>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2749"/>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2749"/>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2749"/>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2749"/>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2749"/>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2749"/>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2749"/>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2749"/>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2749"/>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2749"/>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2749"/>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2749"/>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2749"/>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2749"/>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2749"/>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2749"/>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2749"/>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2749"/>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2749"/>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2749"/>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2749"/>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2749"/>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2749"/>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2749"/>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2749"/>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2749"/>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2749"/>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2749"/>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2749"/>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2749"/>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2749"/>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2749"/>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2749"/>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2749"/>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2749"/>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2749"/>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2749"/>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2749"/>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2749"/>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2749"/>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2749"/>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2749"/>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2749"/>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2749"/>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2749"/>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2749"/>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2749"/>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2749"/>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2749"/>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2749"/>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2749"/>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2749"/>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2749"/>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2749"/>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2749"/>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2749"/>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2749"/>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2749"/>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2749"/>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2749"/>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2749"/>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2749"/>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2749"/>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2749"/>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2749"/>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2749"/>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2749"/>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2749"/>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2749"/>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2749"/>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2749"/>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2749"/>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2749"/>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2749"/>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2749"/>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2749"/>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2749"/>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2749"/>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2749"/>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2749"/>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2749"/>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2749"/>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2749"/>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2749"/>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2749"/>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2749"/>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2749"/>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2749"/>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2749"/>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2749"/>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2749"/>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2749"/>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2749"/>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2749"/>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2749"/>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2749"/>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2749"/>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2749"/>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2749"/>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2749"/>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2749"/>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2749"/>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2749"/>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2749"/>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2749"/>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2749"/>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2749"/>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2749"/>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2749"/>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2749"/>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2749"/>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2749"/>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2749"/>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2749"/>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2749"/>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2749"/>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2749"/>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2749"/>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2749"/>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2749"/>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2749"/>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2749"/>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2749"/>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2749"/>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2749"/>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2749"/>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2749"/>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2749"/>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2749"/>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2749"/>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2749"/>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2749"/>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2749"/>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2749"/>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2749"/>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2749"/>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2749"/>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2749"/>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2749"/>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2749"/>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2749"/>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2749"/>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2749"/>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2749"/>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2749"/>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2749"/>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2749"/>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2749"/>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2749"/>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2749"/>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2749"/>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2749"/>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2749"/>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2749"/>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2749"/>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2749"/>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2749"/>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2749"/>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2749"/>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2749"/>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2749"/>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2749"/>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2749"/>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2749"/>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2749"/>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2749"/>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2749"/>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2749"/>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2749"/>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2749"/>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2749"/>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2749"/>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2749"/>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2749"/>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2749"/>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2749"/>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2749"/>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2749"/>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2749"/>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2749"/>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2749"/>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2749"/>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2749"/>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2749"/>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2749"/>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2749"/>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2749"/>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2749"/>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2749"/>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2749"/>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2749"/>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2749"/>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2749"/>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2749"/>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2749"/>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2749"/>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2749"/>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2749"/>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2749"/>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2749"/>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2749"/>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2749"/>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2749"/>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2749"/>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2749"/>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2749"/>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2749"/>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2749"/>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2749"/>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2749"/>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2749"/>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2749"/>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2749"/>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2749"/>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2749"/>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2749"/>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2749"/>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2749"/>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2749"/>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2749"/>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2749"/>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2749"/>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2749"/>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2749"/>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2749"/>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2749"/>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2749"/>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2749"/>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2749"/>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2749"/>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2749"/>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2749"/>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2749"/>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2749"/>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2749"/>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2749"/>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2749"/>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2749"/>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2749"/>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2749"/>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2749"/>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2749"/>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2749"/>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2749"/>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2749"/>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2749"/>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2749"/>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2749"/>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2749"/>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2749"/>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2749"/>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2749"/>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2749"/>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2749"/>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2749"/>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2749"/>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2749"/>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2749"/>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2749"/>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2749"/>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2749"/>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2749"/>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2749"/>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2749"/>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2749"/>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2749"/>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2749"/>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2749"/>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2749"/>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2749"/>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2749"/>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2749"/>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2749"/>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2749"/>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2749"/>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2749"/>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2749"/>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2749"/>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2749"/>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2749"/>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2749"/>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2749"/>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2749"/>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2749"/>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2749"/>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2749"/>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2749"/>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2749"/>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2749"/>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2749"/>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2749"/>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2749"/>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2749"/>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2749"/>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2749"/>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2749"/>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2749"/>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2749"/>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2749"/>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2749"/>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2749"/>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2749"/>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2749"/>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2749"/>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2749"/>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2749"/>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2749"/>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2749"/>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2749"/>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2749"/>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2749"/>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2749"/>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2749"/>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2749"/>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2749"/>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2749"/>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2749"/>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2749"/>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2749"/>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2749"/>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2749"/>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2749"/>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2749"/>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2749"/>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2749"/>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2749"/>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2749"/>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2749"/>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2749"/>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2749"/>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2749"/>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2749"/>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2749"/>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2749"/>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2749"/>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2749"/>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2749"/>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2749"/>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2749"/>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2749"/>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2749"/>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2749"/>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2749"/>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2749"/>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2749"/>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2749"/>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2749"/>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2749"/>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2749"/>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2749"/>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2749"/>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2749"/>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2749"/>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2749"/>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2749"/>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2749"/>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2749"/>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2749"/>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2749"/>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2749"/>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2749"/>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2749"/>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2749"/>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2749"/>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2749"/>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2749"/>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2749"/>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2749"/>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2749"/>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2749"/>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2749"/>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2749"/>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2749"/>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2749"/>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2749"/>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2749"/>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2749"/>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2749"/>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2749"/>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2749"/>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2749"/>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2749"/>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2749"/>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2749"/>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2749"/>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2749"/>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2749"/>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2749"/>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2749"/>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2749"/>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2749"/>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2749"/>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2749"/>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2749"/>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2749"/>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2749"/>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2749"/>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2749"/>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2749"/>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2749"/>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2749"/>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2749"/>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2749"/>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2749"/>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2749"/>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2749"/>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2749"/>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2749"/>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2749"/>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2749"/>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2749"/>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2749"/>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2749"/>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2749"/>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2749"/>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2749"/>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2749"/>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2749"/>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2749"/>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2749"/>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2749"/>
      <c r="J1000" s="1006"/>
      <c r="K1000" s="1006"/>
      <c r="L1000" s="1006"/>
      <c r="M1000" s="1006"/>
      <c r="N1000" s="1006"/>
      <c r="O1000" s="1006"/>
      <c r="P1000" s="1006"/>
      <c r="Q1000" s="1006"/>
      <c r="R1000" s="1006"/>
      <c r="S1000" s="1006"/>
      <c r="T1000" s="1006"/>
      <c r="U1000" s="1006"/>
      <c r="V1000" s="1006"/>
      <c r="W1000" s="1006"/>
      <c r="X1000" s="1006"/>
      <c r="Y1000" s="1006"/>
      <c r="Z1000" s="1006"/>
    </row>
    <row r="1001">
      <c r="A1001" s="1006"/>
      <c r="B1001" s="1006"/>
      <c r="C1001" s="1006"/>
      <c r="D1001" s="1006"/>
      <c r="E1001" s="1006"/>
      <c r="F1001" s="1006"/>
      <c r="G1001" s="1006"/>
      <c r="H1001" s="1006"/>
      <c r="I1001" s="2749"/>
      <c r="J1001" s="1006"/>
      <c r="K1001" s="1006"/>
      <c r="L1001" s="1006"/>
      <c r="M1001" s="1006"/>
      <c r="N1001" s="1006"/>
      <c r="O1001" s="1006"/>
      <c r="P1001" s="1006"/>
      <c r="Q1001" s="1006"/>
      <c r="R1001" s="1006"/>
      <c r="S1001" s="1006"/>
      <c r="T1001" s="1006"/>
      <c r="U1001" s="1006"/>
      <c r="V1001" s="1006"/>
      <c r="W1001" s="1006"/>
      <c r="X1001" s="1006"/>
      <c r="Y1001" s="1006"/>
      <c r="Z1001" s="1006"/>
    </row>
    <row r="1002">
      <c r="A1002" s="1006"/>
      <c r="B1002" s="1006"/>
      <c r="C1002" s="1006"/>
      <c r="D1002" s="1006"/>
      <c r="E1002" s="1006"/>
      <c r="F1002" s="1006"/>
      <c r="G1002" s="1006"/>
      <c r="H1002" s="1006"/>
      <c r="I1002" s="2749"/>
      <c r="J1002" s="1006"/>
      <c r="K1002" s="1006"/>
      <c r="L1002" s="1006"/>
      <c r="M1002" s="1006"/>
      <c r="N1002" s="1006"/>
      <c r="O1002" s="1006"/>
      <c r="P1002" s="1006"/>
      <c r="Q1002" s="1006"/>
      <c r="R1002" s="1006"/>
      <c r="S1002" s="1006"/>
      <c r="T1002" s="1006"/>
      <c r="U1002" s="1006"/>
      <c r="V1002" s="1006"/>
      <c r="W1002" s="1006"/>
      <c r="X1002" s="1006"/>
      <c r="Y1002" s="1006"/>
      <c r="Z1002" s="1006"/>
    </row>
    <row r="1003">
      <c r="A1003" s="1006"/>
      <c r="B1003" s="1006"/>
      <c r="C1003" s="1006"/>
      <c r="D1003" s="1006"/>
      <c r="E1003" s="1006"/>
      <c r="F1003" s="1006"/>
      <c r="G1003" s="1006"/>
      <c r="H1003" s="1006"/>
      <c r="I1003" s="2749"/>
      <c r="J1003" s="1006"/>
      <c r="K1003" s="1006"/>
      <c r="L1003" s="1006"/>
      <c r="M1003" s="1006"/>
      <c r="N1003" s="1006"/>
      <c r="O1003" s="1006"/>
      <c r="P1003" s="1006"/>
      <c r="Q1003" s="1006"/>
      <c r="R1003" s="1006"/>
      <c r="S1003" s="1006"/>
      <c r="T1003" s="1006"/>
      <c r="U1003" s="1006"/>
      <c r="V1003" s="1006"/>
      <c r="W1003" s="1006"/>
      <c r="X1003" s="1006"/>
      <c r="Y1003" s="1006"/>
      <c r="Z1003" s="1006"/>
    </row>
    <row r="1004">
      <c r="A1004" s="1006"/>
      <c r="B1004" s="1006"/>
      <c r="C1004" s="1006"/>
      <c r="D1004" s="1006"/>
      <c r="E1004" s="1006"/>
      <c r="F1004" s="1006"/>
      <c r="G1004" s="1006"/>
      <c r="H1004" s="1006"/>
      <c r="I1004" s="2749"/>
      <c r="J1004" s="1006"/>
      <c r="K1004" s="1006"/>
      <c r="L1004" s="1006"/>
      <c r="M1004" s="1006"/>
      <c r="N1004" s="1006"/>
      <c r="O1004" s="1006"/>
      <c r="P1004" s="1006"/>
      <c r="Q1004" s="1006"/>
      <c r="R1004" s="1006"/>
      <c r="S1004" s="1006"/>
      <c r="T1004" s="1006"/>
      <c r="U1004" s="1006"/>
      <c r="V1004" s="1006"/>
      <c r="W1004" s="1006"/>
      <c r="X1004" s="1006"/>
      <c r="Y1004" s="1006"/>
      <c r="Z1004" s="1006"/>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1540</v>
      </c>
      <c r="B1" s="6" t="s">
        <v>1687</v>
      </c>
    </row>
    <row r="2">
      <c r="A2" s="6" t="s">
        <v>1688</v>
      </c>
      <c r="B2" s="6" t="s">
        <v>1689</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1690</v>
      </c>
      <c r="B3" s="6" t="s">
        <v>1691</v>
      </c>
      <c r="D3" s="10" t="str">
        <f t="shared" ref="D3:D29" si="1">""""&amp;B3&amp;""""</f>
        <v>"pedrucus@gmail.com"</v>
      </c>
    </row>
    <row r="4">
      <c r="A4" s="6" t="s">
        <v>1154</v>
      </c>
      <c r="B4" s="6" t="s">
        <v>96</v>
      </c>
      <c r="D4" s="10" t="str">
        <f t="shared" si="1"/>
        <v>"avaluosyarquitectura2@gmail.com"</v>
      </c>
      <c r="E4" s="10" t="s">
        <v>1692</v>
      </c>
    </row>
    <row r="5">
      <c r="A5" s="6" t="s">
        <v>1693</v>
      </c>
      <c r="B5" s="6" t="s">
        <v>1694</v>
      </c>
      <c r="D5" s="10" t="str">
        <f t="shared" si="1"/>
        <v>"omavaluo@gmail.com"</v>
      </c>
    </row>
    <row r="6">
      <c r="A6" s="6" t="s">
        <v>1695</v>
      </c>
      <c r="B6" s="6" t="s">
        <v>1696</v>
      </c>
      <c r="D6" s="10" t="str">
        <f t="shared" si="1"/>
        <v>"manuelbaltazaralba@gmail.com"</v>
      </c>
    </row>
    <row r="7">
      <c r="A7" s="6" t="s">
        <v>1697</v>
      </c>
      <c r="B7" s="6" t="s">
        <v>1698</v>
      </c>
      <c r="D7" s="10" t="str">
        <f t="shared" si="1"/>
        <v>"arq.yaelcastro@gmail.com"</v>
      </c>
    </row>
    <row r="8">
      <c r="A8" s="6" t="s">
        <v>1699</v>
      </c>
      <c r="B8" s="6" t="s">
        <v>1700</v>
      </c>
      <c r="D8" s="10" t="str">
        <f t="shared" si="1"/>
        <v>"arq.masg89@gmail.com"</v>
      </c>
    </row>
    <row r="9">
      <c r="A9" s="6" t="s">
        <v>1701</v>
      </c>
      <c r="B9" s="6" t="s">
        <v>1702</v>
      </c>
      <c r="D9" s="10" t="str">
        <f t="shared" si="1"/>
        <v>"tomas.nassim.arq@hotmail.com"</v>
      </c>
    </row>
    <row r="10">
      <c r="A10" s="6" t="s">
        <v>1703</v>
      </c>
      <c r="B10" s="6" t="s">
        <v>1704</v>
      </c>
      <c r="D10" s="10" t="str">
        <f t="shared" si="1"/>
        <v>"Arq.macias@gmail.com"</v>
      </c>
    </row>
    <row r="11">
      <c r="A11" s="6" t="s">
        <v>1705</v>
      </c>
      <c r="B11" s="6" t="s">
        <v>1706</v>
      </c>
      <c r="D11" s="10" t="str">
        <f t="shared" si="1"/>
        <v>"ana.vazquezocejo@gmail.com"</v>
      </c>
    </row>
    <row r="12">
      <c r="A12" s="6" t="s">
        <v>1707</v>
      </c>
      <c r="B12" s="6" t="s">
        <v>1708</v>
      </c>
      <c r="D12" s="10" t="str">
        <f t="shared" si="1"/>
        <v>"curso.appsheet.avaluos@gmail.com"</v>
      </c>
    </row>
    <row r="13">
      <c r="A13" s="6" t="s">
        <v>1709</v>
      </c>
      <c r="B13" s="6" t="s">
        <v>1710</v>
      </c>
      <c r="D13" s="10" t="str">
        <f t="shared" si="1"/>
        <v>"lucasentorno@gmail.com"</v>
      </c>
    </row>
    <row r="14">
      <c r="A14" s="6" t="s">
        <v>1711</v>
      </c>
      <c r="B14" s="6" t="s">
        <v>1712</v>
      </c>
      <c r="D14" s="10" t="str">
        <f t="shared" si="1"/>
        <v>"da.arquitectos@gmail.com"</v>
      </c>
    </row>
    <row r="15">
      <c r="A15" s="6" t="s">
        <v>1713</v>
      </c>
      <c r="B15" s="6" t="s">
        <v>1714</v>
      </c>
      <c r="D15" s="10" t="str">
        <f t="shared" si="1"/>
        <v>"alan.pipo2@hotmail.com"</v>
      </c>
    </row>
    <row r="16">
      <c r="A16" s="6" t="s">
        <v>1715</v>
      </c>
      <c r="B16" s="6" t="s">
        <v>1716</v>
      </c>
      <c r="D16" s="10" t="str">
        <f t="shared" si="1"/>
        <v>"velascoraarq8@gmail.com"</v>
      </c>
    </row>
    <row r="17">
      <c r="A17" s="6" t="s">
        <v>1717</v>
      </c>
      <c r="B17" s="6" t="s">
        <v>1718</v>
      </c>
      <c r="D17" s="10" t="str">
        <f t="shared" si="1"/>
        <v>"befren_@hotmail.com"</v>
      </c>
    </row>
    <row r="18">
      <c r="A18" s="6" t="s">
        <v>1707</v>
      </c>
      <c r="B18" s="6" t="s">
        <v>1719</v>
      </c>
      <c r="D18" s="10" t="str">
        <f t="shared" si="1"/>
        <v>"castanedalive1@gmail.com"</v>
      </c>
    </row>
    <row r="19">
      <c r="A19" s="6" t="s">
        <v>1720</v>
      </c>
      <c r="B19" s="6" t="s">
        <v>1721</v>
      </c>
      <c r="D19" s="10" t="str">
        <f t="shared" si="1"/>
        <v>"julia@gmail.com"</v>
      </c>
    </row>
    <row r="20">
      <c r="A20" s="6" t="s">
        <v>1722</v>
      </c>
      <c r="B20" s="6" t="s">
        <v>1723</v>
      </c>
      <c r="D20" s="10" t="str">
        <f t="shared" si="1"/>
        <v>"3313822640hi@gmail.com"</v>
      </c>
    </row>
    <row r="21">
      <c r="A21" s="6" t="s">
        <v>1724</v>
      </c>
      <c r="B21" s="6" t="s">
        <v>1725</v>
      </c>
      <c r="D21" s="10" t="str">
        <f t="shared" si="1"/>
        <v>"karla@gmail.com"</v>
      </c>
    </row>
    <row r="22">
      <c r="A22" s="6" t="s">
        <v>1726</v>
      </c>
      <c r="B22" s="6" t="s">
        <v>1723</v>
      </c>
      <c r="D22" s="10" t="str">
        <f t="shared" si="1"/>
        <v>"3313822640hi@gmail.com"</v>
      </c>
    </row>
    <row r="23">
      <c r="A23" s="6" t="s">
        <v>1690</v>
      </c>
      <c r="B23" s="6" t="s">
        <v>1727</v>
      </c>
      <c r="D23" s="10" t="str">
        <f t="shared" si="1"/>
        <v>"pedro@gmail.com"</v>
      </c>
    </row>
    <row r="24">
      <c r="A24" s="6" t="s">
        <v>1728</v>
      </c>
      <c r="B24" s="6" t="s">
        <v>1729</v>
      </c>
      <c r="D24" s="10" t="str">
        <f t="shared" si="1"/>
        <v>"pruebaexterno@gmail.com"</v>
      </c>
    </row>
    <row r="25">
      <c r="A25" s="6" t="s">
        <v>1730</v>
      </c>
      <c r="B25" s="6" t="s">
        <v>1731</v>
      </c>
      <c r="D25" s="10" t="str">
        <f t="shared" si="1"/>
        <v>"Jesus@gmail.com"</v>
      </c>
    </row>
    <row r="26">
      <c r="A26" s="6" t="s">
        <v>1732</v>
      </c>
      <c r="B26" s="6" t="s">
        <v>1733</v>
      </c>
      <c r="D26" s="10" t="str">
        <f t="shared" si="1"/>
        <v>"tomas@gmail.com"</v>
      </c>
    </row>
    <row r="27">
      <c r="A27" s="6" t="s">
        <v>1734</v>
      </c>
      <c r="B27" s="6" t="s">
        <v>1735</v>
      </c>
      <c r="D27" s="10" t="str">
        <f t="shared" si="1"/>
        <v>"alicia@gmail.com"</v>
      </c>
    </row>
    <row r="28">
      <c r="A28" s="6" t="s">
        <v>1736</v>
      </c>
      <c r="B28" s="6" t="s">
        <v>1737</v>
      </c>
      <c r="D28" s="10" t="str">
        <f t="shared" si="1"/>
        <v>"paticha1970@gmail.com"</v>
      </c>
    </row>
    <row r="29">
      <c r="A29" s="6" t="s">
        <v>1738</v>
      </c>
      <c r="B29" s="6" t="s">
        <v>1739</v>
      </c>
      <c r="D29" s="10" t="str">
        <f t="shared" si="1"/>
        <v>"juan.arteaga@amasg.com.mx"</v>
      </c>
    </row>
    <row r="30">
      <c r="A30" s="6" t="s">
        <v>1740</v>
      </c>
      <c r="B30" s="6" t="s">
        <v>1741</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6"/>
      <c r="B1" s="1006"/>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row>
    <row r="2">
      <c r="A2" s="2813"/>
      <c r="B2" s="2813"/>
      <c r="C2" s="2814">
        <f>VLOOKUP(D2,B3:C5,2,)</f>
        <v>2</v>
      </c>
      <c r="D2" s="2815" t="str">
        <f>'% Avance de Obra'!E8</f>
        <v>Casa en más de un nivel</v>
      </c>
      <c r="E2" s="2816"/>
      <c r="F2" s="2817"/>
      <c r="G2" s="1006"/>
      <c r="H2" s="1006"/>
      <c r="I2" s="1006"/>
      <c r="J2" s="1006"/>
      <c r="K2" s="1006"/>
      <c r="L2" s="1006"/>
      <c r="M2" s="1006"/>
      <c r="N2" s="1006"/>
      <c r="O2" s="1006"/>
      <c r="P2" s="1006"/>
      <c r="Q2" s="1006"/>
      <c r="R2" s="1006"/>
      <c r="S2" s="1006"/>
      <c r="T2" s="1006"/>
      <c r="U2" s="1006"/>
      <c r="V2" s="1006"/>
      <c r="W2" s="1006"/>
      <c r="X2" s="1006"/>
      <c r="Y2" s="1006"/>
      <c r="Z2" s="1006"/>
    </row>
    <row r="3">
      <c r="A3" s="2813">
        <v>1.0</v>
      </c>
      <c r="B3" s="2813" t="s">
        <v>1742</v>
      </c>
      <c r="C3" s="2818">
        <v>1.0</v>
      </c>
      <c r="D3" s="1006"/>
      <c r="E3" s="1006"/>
      <c r="F3" s="1006"/>
      <c r="G3" s="1006"/>
      <c r="H3" s="1006"/>
      <c r="I3" s="1006"/>
      <c r="J3" s="1006"/>
      <c r="K3" s="1006"/>
      <c r="L3" s="1006"/>
      <c r="M3" s="1006"/>
      <c r="N3" s="1006"/>
      <c r="O3" s="1006"/>
      <c r="P3" s="1006"/>
      <c r="Q3" s="1006"/>
      <c r="R3" s="1006"/>
      <c r="S3" s="1006"/>
      <c r="T3" s="1006"/>
      <c r="U3" s="1006"/>
      <c r="V3" s="1006"/>
      <c r="W3" s="1006"/>
      <c r="X3" s="1006"/>
      <c r="Y3" s="1006"/>
      <c r="Z3" s="1006"/>
    </row>
    <row r="4">
      <c r="A4" s="2813">
        <v>2.0</v>
      </c>
      <c r="B4" s="2813" t="s">
        <v>1626</v>
      </c>
      <c r="C4" s="2818">
        <v>2.0</v>
      </c>
      <c r="D4" s="1006"/>
      <c r="E4" s="1006"/>
      <c r="F4" s="1006"/>
      <c r="G4" s="1006"/>
      <c r="H4" s="1006"/>
      <c r="I4" s="1006"/>
      <c r="J4" s="1006"/>
      <c r="K4" s="1006"/>
      <c r="L4" s="1006"/>
      <c r="M4" s="1006"/>
      <c r="N4" s="1006"/>
      <c r="O4" s="1006"/>
      <c r="P4" s="1006"/>
      <c r="Q4" s="1006"/>
      <c r="R4" s="1006"/>
      <c r="S4" s="1006"/>
      <c r="T4" s="1006"/>
      <c r="U4" s="1006"/>
      <c r="V4" s="1006"/>
      <c r="W4" s="1006"/>
      <c r="X4" s="1006"/>
      <c r="Y4" s="1006"/>
      <c r="Z4" s="1006"/>
    </row>
    <row r="5">
      <c r="A5" s="2813">
        <v>3.0</v>
      </c>
      <c r="B5" s="2813" t="s">
        <v>1743</v>
      </c>
      <c r="C5" s="2818">
        <v>3.0</v>
      </c>
      <c r="D5" s="1006"/>
      <c r="E5" s="1006"/>
      <c r="F5" s="1006"/>
      <c r="G5" s="1006"/>
      <c r="H5" s="1006"/>
      <c r="I5" s="1006"/>
      <c r="J5" s="1006"/>
      <c r="K5" s="1006"/>
      <c r="L5" s="1006"/>
      <c r="M5" s="1006"/>
      <c r="N5" s="1006"/>
      <c r="O5" s="1006"/>
      <c r="P5" s="1006"/>
      <c r="Q5" s="1006"/>
      <c r="R5" s="1006"/>
      <c r="S5" s="1006"/>
      <c r="T5" s="1006"/>
      <c r="U5" s="1006"/>
      <c r="V5" s="1006"/>
      <c r="W5" s="1006"/>
      <c r="X5" s="1006"/>
      <c r="Y5" s="1006"/>
      <c r="Z5" s="1006"/>
    </row>
    <row r="6">
      <c r="A6" s="1006"/>
      <c r="B6" s="1006"/>
      <c r="C6" s="1006"/>
      <c r="D6" s="1006"/>
      <c r="E6" s="1006"/>
      <c r="F6" s="1006"/>
      <c r="G6" s="1006"/>
      <c r="H6" s="1006"/>
      <c r="I6" s="1006"/>
      <c r="J6" s="1006"/>
      <c r="K6" s="1006"/>
      <c r="L6" s="1006"/>
      <c r="M6" s="1006"/>
      <c r="N6" s="1006"/>
      <c r="O6" s="1006"/>
      <c r="P6" s="1006"/>
      <c r="Q6" s="1006"/>
      <c r="R6" s="1006"/>
      <c r="S6" s="1006"/>
      <c r="T6" s="1006"/>
      <c r="U6" s="1006"/>
      <c r="V6" s="1006"/>
      <c r="W6" s="1006"/>
      <c r="X6" s="1006"/>
      <c r="Y6" s="1006"/>
      <c r="Z6" s="1006"/>
    </row>
    <row r="7">
      <c r="A7" s="1006"/>
      <c r="B7" s="1006"/>
      <c r="C7" s="2815" t="str">
        <f>'% Avance de Obra'!E10</f>
        <v>Tipo 8: hasta 120M2</v>
      </c>
      <c r="D7" s="2816"/>
      <c r="E7" s="2817"/>
      <c r="F7" s="1006"/>
      <c r="G7" s="2819" t="s">
        <v>1744</v>
      </c>
      <c r="H7" s="2816"/>
      <c r="I7" s="2817"/>
      <c r="J7" s="1006"/>
      <c r="K7" s="1006"/>
      <c r="L7" s="1006"/>
      <c r="M7" s="1006"/>
      <c r="N7" s="1006"/>
      <c r="O7" s="1006"/>
      <c r="P7" s="1006"/>
      <c r="Q7" s="1006"/>
      <c r="R7" s="1006"/>
      <c r="S7" s="1006"/>
      <c r="T7" s="1006"/>
      <c r="U7" s="1006"/>
      <c r="V7" s="1006"/>
      <c r="W7" s="1006"/>
      <c r="X7" s="1006"/>
      <c r="Y7" s="1006"/>
      <c r="Z7" s="1006"/>
    </row>
    <row r="8">
      <c r="A8" s="2813"/>
      <c r="B8" s="2813">
        <f>VLOOKUP(C7,B9:E24,4,)</f>
        <v>8</v>
      </c>
      <c r="C8" s="2820">
        <f>IF(C2&lt;&gt;3,B8,B8+12)</f>
        <v>8</v>
      </c>
      <c r="D8" s="2820">
        <f>VLOOKUP(C8,A9:C24,3,0)</f>
        <v>18</v>
      </c>
      <c r="E8" s="2813"/>
      <c r="F8" s="1006"/>
      <c r="G8" s="2819"/>
      <c r="H8" s="2816"/>
      <c r="I8" s="2817"/>
      <c r="J8" s="1006"/>
      <c r="K8" s="1006"/>
      <c r="L8" s="1006"/>
      <c r="M8" s="1006"/>
      <c r="N8" s="1006"/>
      <c r="O8" s="1006"/>
      <c r="P8" s="1006"/>
      <c r="Q8" s="1006"/>
      <c r="R8" s="1006"/>
      <c r="S8" s="1006"/>
      <c r="T8" s="1006"/>
      <c r="U8" s="1006"/>
      <c r="V8" s="1006"/>
      <c r="W8" s="1006"/>
      <c r="X8" s="1006"/>
      <c r="Y8" s="1006"/>
      <c r="Z8" s="1006"/>
    </row>
    <row r="9">
      <c r="A9" s="2813">
        <v>1.0</v>
      </c>
      <c r="B9" s="2813" t="s">
        <v>1745</v>
      </c>
      <c r="C9" s="2813">
        <v>4.0</v>
      </c>
      <c r="D9" s="2813">
        <v>40.0</v>
      </c>
      <c r="E9" s="2813">
        <v>1.0</v>
      </c>
      <c r="F9" s="1006"/>
      <c r="G9" s="2819" t="str">
        <f t="shared" ref="G9:G12" si="1">IF($C$2&lt;&gt;3,B9,B21)</f>
        <v>Tipo 1: hasta 40M2</v>
      </c>
      <c r="H9" s="2816"/>
      <c r="I9" s="2817"/>
      <c r="J9" s="1006"/>
      <c r="K9" s="1006"/>
      <c r="L9" s="1006"/>
      <c r="M9" s="1006"/>
      <c r="N9" s="1006"/>
      <c r="O9" s="1006"/>
      <c r="P9" s="1006"/>
      <c r="Q9" s="1006"/>
      <c r="R9" s="1006"/>
      <c r="S9" s="1006"/>
      <c r="T9" s="1006"/>
      <c r="U9" s="1006"/>
      <c r="V9" s="1006"/>
      <c r="W9" s="1006"/>
      <c r="X9" s="1006"/>
      <c r="Y9" s="1006"/>
      <c r="Z9" s="1006"/>
    </row>
    <row r="10">
      <c r="A10" s="2813">
        <v>2.0</v>
      </c>
      <c r="B10" s="2813" t="s">
        <v>1746</v>
      </c>
      <c r="C10" s="2813">
        <v>6.0</v>
      </c>
      <c r="D10" s="2813">
        <v>47.0</v>
      </c>
      <c r="E10" s="2813">
        <v>2.0</v>
      </c>
      <c r="F10" s="1006"/>
      <c r="G10" s="2819" t="str">
        <f t="shared" si="1"/>
        <v>Tipo 2: hasta 47M2</v>
      </c>
      <c r="H10" s="2816"/>
      <c r="I10" s="2817"/>
      <c r="J10" s="1006"/>
      <c r="K10" s="1006"/>
      <c r="L10" s="1006"/>
      <c r="M10" s="1006"/>
      <c r="N10" s="1006"/>
      <c r="O10" s="1006"/>
      <c r="P10" s="1006"/>
      <c r="Q10" s="1006"/>
      <c r="R10" s="1006"/>
      <c r="S10" s="1006"/>
      <c r="T10" s="1006"/>
      <c r="U10" s="1006"/>
      <c r="V10" s="1006"/>
      <c r="W10" s="1006"/>
      <c r="X10" s="1006"/>
      <c r="Y10" s="1006"/>
      <c r="Z10" s="1006"/>
    </row>
    <row r="11">
      <c r="A11" s="2813">
        <v>3.0</v>
      </c>
      <c r="B11" s="2813" t="s">
        <v>1747</v>
      </c>
      <c r="C11" s="2813">
        <v>8.0</v>
      </c>
      <c r="D11" s="2813">
        <v>50.0</v>
      </c>
      <c r="E11" s="2813">
        <v>3.0</v>
      </c>
      <c r="F11" s="1006"/>
      <c r="G11" s="2819" t="str">
        <f t="shared" si="1"/>
        <v>Tipo 3: hasta 50M2</v>
      </c>
      <c r="H11" s="2816"/>
      <c r="I11" s="2817"/>
      <c r="J11" s="1006"/>
      <c r="K11" s="1006"/>
      <c r="L11" s="1006"/>
      <c r="M11" s="1006"/>
      <c r="N11" s="1006"/>
      <c r="O11" s="1006"/>
      <c r="P11" s="1006"/>
      <c r="Q11" s="1006"/>
      <c r="R11" s="1006"/>
      <c r="S11" s="1006"/>
      <c r="T11" s="1006"/>
      <c r="U11" s="1006"/>
      <c r="V11" s="1006"/>
      <c r="W11" s="1006"/>
      <c r="X11" s="1006"/>
      <c r="Y11" s="1006"/>
      <c r="Z11" s="1006"/>
    </row>
    <row r="12">
      <c r="A12" s="2813">
        <v>4.0</v>
      </c>
      <c r="B12" s="2813" t="s">
        <v>1748</v>
      </c>
      <c r="C12" s="2813">
        <v>10.0</v>
      </c>
      <c r="D12" s="2813">
        <v>60.0</v>
      </c>
      <c r="E12" s="2813">
        <v>4.0</v>
      </c>
      <c r="F12" s="1006"/>
      <c r="G12" s="2819" t="str">
        <f t="shared" si="1"/>
        <v>Tipo 4: hasta 60M2</v>
      </c>
      <c r="H12" s="2816"/>
      <c r="I12" s="2817"/>
      <c r="J12" s="1006"/>
      <c r="K12" s="1006"/>
      <c r="L12" s="1006"/>
      <c r="M12" s="1006"/>
      <c r="N12" s="1006"/>
      <c r="O12" s="1006"/>
      <c r="P12" s="1006"/>
      <c r="Q12" s="1006"/>
      <c r="R12" s="1006"/>
      <c r="S12" s="1006"/>
      <c r="T12" s="1006"/>
      <c r="U12" s="1006"/>
      <c r="V12" s="1006"/>
      <c r="W12" s="1006"/>
      <c r="X12" s="1006"/>
      <c r="Y12" s="1006"/>
      <c r="Z12" s="1006"/>
    </row>
    <row r="13">
      <c r="A13" s="2813">
        <v>5.0</v>
      </c>
      <c r="B13" s="2813" t="s">
        <v>1749</v>
      </c>
      <c r="C13" s="2813">
        <v>12.0</v>
      </c>
      <c r="D13" s="2813">
        <v>70.0</v>
      </c>
      <c r="E13" s="2813">
        <v>5.0</v>
      </c>
      <c r="F13" s="1006"/>
      <c r="G13" s="2819" t="str">
        <f t="shared" ref="G13:G20" si="2">IF($C$2&lt;&gt;3,B13,"")</f>
        <v>Tipo 5: hasta 70M2</v>
      </c>
      <c r="H13" s="2816"/>
      <c r="I13" s="2817"/>
      <c r="J13" s="1006"/>
      <c r="K13" s="1006"/>
      <c r="L13" s="1006"/>
      <c r="M13" s="1006"/>
      <c r="N13" s="1006"/>
      <c r="O13" s="1006"/>
      <c r="P13" s="1006"/>
      <c r="Q13" s="1006"/>
      <c r="R13" s="1006"/>
      <c r="S13" s="1006"/>
      <c r="T13" s="1006"/>
      <c r="U13" s="1006"/>
      <c r="V13" s="1006"/>
      <c r="W13" s="1006"/>
      <c r="X13" s="1006"/>
      <c r="Y13" s="1006"/>
      <c r="Z13" s="1006"/>
    </row>
    <row r="14">
      <c r="A14" s="2813">
        <v>6.0</v>
      </c>
      <c r="B14" s="2813" t="s">
        <v>1750</v>
      </c>
      <c r="C14" s="2813">
        <v>14.0</v>
      </c>
      <c r="D14" s="2813">
        <v>90.0</v>
      </c>
      <c r="E14" s="2813">
        <v>6.0</v>
      </c>
      <c r="F14" s="1006"/>
      <c r="G14" s="2819" t="str">
        <f t="shared" si="2"/>
        <v>Tipo 6: hasta 90M2</v>
      </c>
      <c r="H14" s="2816"/>
      <c r="I14" s="2817"/>
      <c r="J14" s="1006"/>
      <c r="K14" s="1006"/>
      <c r="L14" s="1006"/>
      <c r="M14" s="1006"/>
      <c r="N14" s="1006"/>
      <c r="O14" s="1006"/>
      <c r="P14" s="1006"/>
      <c r="Q14" s="1006"/>
      <c r="R14" s="1006"/>
      <c r="S14" s="1006"/>
      <c r="T14" s="1006"/>
      <c r="U14" s="1006"/>
      <c r="V14" s="1006"/>
      <c r="W14" s="1006"/>
      <c r="X14" s="1006"/>
      <c r="Y14" s="1006"/>
      <c r="Z14" s="1006"/>
    </row>
    <row r="15">
      <c r="A15" s="2813">
        <v>7.0</v>
      </c>
      <c r="B15" s="2813" t="s">
        <v>1751</v>
      </c>
      <c r="C15" s="2813">
        <v>16.0</v>
      </c>
      <c r="D15" s="2813">
        <v>100.0</v>
      </c>
      <c r="E15" s="2813">
        <v>7.0</v>
      </c>
      <c r="F15" s="1006"/>
      <c r="G15" s="2819" t="str">
        <f t="shared" si="2"/>
        <v>Tipo 7: hasta 100M2</v>
      </c>
      <c r="H15" s="2816"/>
      <c r="I15" s="2817"/>
      <c r="J15" s="1006"/>
      <c r="K15" s="1006"/>
      <c r="L15" s="1006"/>
      <c r="M15" s="1006"/>
      <c r="N15" s="1006"/>
      <c r="O15" s="1006"/>
      <c r="P15" s="1006"/>
      <c r="Q15" s="1006"/>
      <c r="R15" s="1006"/>
      <c r="S15" s="1006"/>
      <c r="T15" s="1006"/>
      <c r="U15" s="1006"/>
      <c r="V15" s="1006"/>
      <c r="W15" s="1006"/>
      <c r="X15" s="1006"/>
      <c r="Y15" s="1006"/>
      <c r="Z15" s="1006"/>
    </row>
    <row r="16">
      <c r="A16" s="2813">
        <v>8.0</v>
      </c>
      <c r="B16" s="2813" t="s">
        <v>1628</v>
      </c>
      <c r="C16" s="2813">
        <v>18.0</v>
      </c>
      <c r="D16" s="2813">
        <v>120.0</v>
      </c>
      <c r="E16" s="2813">
        <v>8.0</v>
      </c>
      <c r="F16" s="1006"/>
      <c r="G16" s="2819" t="str">
        <f t="shared" si="2"/>
        <v>Tipo 8: hasta 120M2</v>
      </c>
      <c r="H16" s="2816"/>
      <c r="I16" s="2817"/>
      <c r="J16" s="1006"/>
      <c r="K16" s="1006"/>
      <c r="L16" s="1006"/>
      <c r="M16" s="1006"/>
      <c r="N16" s="1006"/>
      <c r="O16" s="1006"/>
      <c r="P16" s="1006"/>
      <c r="Q16" s="1006"/>
      <c r="R16" s="1006"/>
      <c r="S16" s="1006"/>
      <c r="T16" s="1006"/>
      <c r="U16" s="1006"/>
      <c r="V16" s="1006"/>
      <c r="W16" s="1006"/>
      <c r="X16" s="1006"/>
      <c r="Y16" s="1006"/>
      <c r="Z16" s="1006"/>
    </row>
    <row r="17">
      <c r="A17" s="2813">
        <v>9.0</v>
      </c>
      <c r="B17" s="2813" t="s">
        <v>1752</v>
      </c>
      <c r="C17" s="2813">
        <v>20.0</v>
      </c>
      <c r="D17" s="2813">
        <v>150.0</v>
      </c>
      <c r="E17" s="2813">
        <v>9.0</v>
      </c>
      <c r="F17" s="1006"/>
      <c r="G17" s="2819" t="str">
        <f t="shared" si="2"/>
        <v>Tipo 9: hasta 150M2</v>
      </c>
      <c r="H17" s="2816"/>
      <c r="I17" s="2817"/>
      <c r="J17" s="1006"/>
      <c r="K17" s="1006"/>
      <c r="L17" s="1006"/>
      <c r="M17" s="1006"/>
      <c r="N17" s="1006"/>
      <c r="O17" s="1006"/>
      <c r="P17" s="1006"/>
      <c r="Q17" s="1006"/>
      <c r="R17" s="1006"/>
      <c r="S17" s="1006"/>
      <c r="T17" s="1006"/>
      <c r="U17" s="1006"/>
      <c r="V17" s="1006"/>
      <c r="W17" s="1006"/>
      <c r="X17" s="1006"/>
      <c r="Y17" s="1006"/>
      <c r="Z17" s="1006"/>
    </row>
    <row r="18">
      <c r="A18" s="2813">
        <v>10.0</v>
      </c>
      <c r="B18" s="2813" t="s">
        <v>1753</v>
      </c>
      <c r="C18" s="2813">
        <v>22.0</v>
      </c>
      <c r="D18" s="2813">
        <v>200.0</v>
      </c>
      <c r="E18" s="2813">
        <v>10.0</v>
      </c>
      <c r="F18" s="1006"/>
      <c r="G18" s="2819" t="str">
        <f t="shared" si="2"/>
        <v>Tipo 10: hasta 200M2</v>
      </c>
      <c r="H18" s="2816"/>
      <c r="I18" s="2817"/>
      <c r="J18" s="1006"/>
      <c r="K18" s="1006"/>
      <c r="L18" s="1006"/>
      <c r="M18" s="1006"/>
      <c r="N18" s="1006"/>
      <c r="O18" s="1006"/>
      <c r="P18" s="1006"/>
      <c r="Q18" s="1006"/>
      <c r="R18" s="1006"/>
      <c r="S18" s="1006"/>
      <c r="T18" s="1006"/>
      <c r="U18" s="1006"/>
      <c r="V18" s="1006"/>
      <c r="W18" s="1006"/>
      <c r="X18" s="1006"/>
      <c r="Y18" s="1006"/>
      <c r="Z18" s="1006"/>
    </row>
    <row r="19">
      <c r="A19" s="2813">
        <v>11.0</v>
      </c>
      <c r="B19" s="2813" t="s">
        <v>1754</v>
      </c>
      <c r="C19" s="2813">
        <v>24.0</v>
      </c>
      <c r="D19" s="2813">
        <v>450.0</v>
      </c>
      <c r="E19" s="2813">
        <v>11.0</v>
      </c>
      <c r="F19" s="1006"/>
      <c r="G19" s="2819" t="str">
        <f t="shared" si="2"/>
        <v>Tipo 11: hasta 450M2</v>
      </c>
      <c r="H19" s="2816"/>
      <c r="I19" s="2817"/>
      <c r="J19" s="1006"/>
      <c r="K19" s="1006"/>
      <c r="L19" s="1006"/>
      <c r="M19" s="1006"/>
      <c r="N19" s="1006"/>
      <c r="O19" s="1006"/>
      <c r="P19" s="1006"/>
      <c r="Q19" s="1006"/>
      <c r="R19" s="1006"/>
      <c r="S19" s="1006"/>
      <c r="T19" s="1006"/>
      <c r="U19" s="1006"/>
      <c r="V19" s="1006"/>
      <c r="W19" s="1006"/>
      <c r="X19" s="1006"/>
      <c r="Y19" s="1006"/>
      <c r="Z19" s="1006"/>
    </row>
    <row r="20">
      <c r="A20" s="2813">
        <v>12.0</v>
      </c>
      <c r="B20" s="2813" t="s">
        <v>1755</v>
      </c>
      <c r="C20" s="2813">
        <v>26.0</v>
      </c>
      <c r="D20" s="2813">
        <v>700.0</v>
      </c>
      <c r="E20" s="2813">
        <v>12.0</v>
      </c>
      <c r="F20" s="1006"/>
      <c r="G20" s="2819" t="str">
        <f t="shared" si="2"/>
        <v>Tipo 12: hasta 700M2</v>
      </c>
      <c r="H20" s="2816"/>
      <c r="I20" s="2817"/>
      <c r="J20" s="1006"/>
      <c r="K20" s="1006"/>
      <c r="L20" s="1006"/>
      <c r="M20" s="1006"/>
      <c r="N20" s="1006"/>
      <c r="O20" s="1006"/>
      <c r="P20" s="1006"/>
      <c r="Q20" s="1006"/>
      <c r="R20" s="1006"/>
      <c r="S20" s="1006"/>
      <c r="T20" s="1006"/>
      <c r="U20" s="1006"/>
      <c r="V20" s="1006"/>
      <c r="W20" s="1006"/>
      <c r="X20" s="1006"/>
      <c r="Y20" s="1006"/>
      <c r="Z20" s="1006"/>
    </row>
    <row r="21">
      <c r="A21" s="2813">
        <v>13.0</v>
      </c>
      <c r="B21" s="2813" t="s">
        <v>1756</v>
      </c>
      <c r="C21" s="2813">
        <v>28.0</v>
      </c>
      <c r="D21" s="2813">
        <v>50.0</v>
      </c>
      <c r="E21" s="2813">
        <v>13.0</v>
      </c>
      <c r="F21" s="1006"/>
      <c r="G21" s="1006"/>
      <c r="H21" s="1006"/>
      <c r="I21" s="1006"/>
      <c r="J21" s="1006"/>
      <c r="K21" s="1006"/>
      <c r="L21" s="1006"/>
      <c r="M21" s="1006"/>
      <c r="N21" s="1006"/>
      <c r="O21" s="1006"/>
      <c r="P21" s="1006"/>
      <c r="Q21" s="1006"/>
      <c r="R21" s="1006"/>
      <c r="S21" s="1006"/>
      <c r="T21" s="1006"/>
      <c r="U21" s="1006"/>
      <c r="V21" s="1006"/>
      <c r="W21" s="1006"/>
      <c r="X21" s="1006"/>
      <c r="Y21" s="1006"/>
      <c r="Z21" s="1006"/>
    </row>
    <row r="22">
      <c r="A22" s="2813">
        <v>14.0</v>
      </c>
      <c r="B22" s="2813" t="s">
        <v>1757</v>
      </c>
      <c r="C22" s="2813">
        <v>30.0</v>
      </c>
      <c r="D22" s="2813">
        <v>80.0</v>
      </c>
      <c r="E22" s="2813">
        <v>14.0</v>
      </c>
      <c r="F22" s="1006"/>
      <c r="G22" s="1006"/>
      <c r="H22" s="1006"/>
      <c r="I22" s="1006"/>
      <c r="J22" s="1006"/>
      <c r="K22" s="1006"/>
      <c r="L22" s="1006"/>
      <c r="M22" s="1006"/>
      <c r="N22" s="1006"/>
      <c r="O22" s="1006"/>
      <c r="P22" s="1006"/>
      <c r="Q22" s="1006"/>
      <c r="R22" s="1006"/>
      <c r="S22" s="1006"/>
      <c r="T22" s="1006"/>
      <c r="U22" s="1006"/>
      <c r="V22" s="1006"/>
      <c r="W22" s="1006"/>
      <c r="X22" s="1006"/>
      <c r="Y22" s="1006"/>
      <c r="Z22" s="1006"/>
    </row>
    <row r="23">
      <c r="A23" s="2813">
        <v>15.0</v>
      </c>
      <c r="B23" s="2813" t="s">
        <v>1758</v>
      </c>
      <c r="C23" s="2813">
        <v>32.0</v>
      </c>
      <c r="D23" s="2813">
        <v>100.0</v>
      </c>
      <c r="E23" s="2813">
        <v>15.0</v>
      </c>
      <c r="F23" s="1006"/>
      <c r="G23" s="1006"/>
      <c r="H23" s="1006"/>
      <c r="I23" s="1006"/>
      <c r="J23" s="1006"/>
      <c r="K23" s="1006"/>
      <c r="L23" s="1006"/>
      <c r="M23" s="1006"/>
      <c r="N23" s="1006"/>
      <c r="O23" s="1006"/>
      <c r="P23" s="1006"/>
      <c r="Q23" s="1006"/>
      <c r="R23" s="1006"/>
      <c r="S23" s="1006"/>
      <c r="T23" s="1006"/>
      <c r="U23" s="1006"/>
      <c r="V23" s="1006"/>
      <c r="W23" s="1006"/>
      <c r="X23" s="1006"/>
      <c r="Y23" s="1006"/>
      <c r="Z23" s="1006"/>
    </row>
    <row r="24">
      <c r="A24" s="2813">
        <v>16.0</v>
      </c>
      <c r="B24" s="2813" t="s">
        <v>1759</v>
      </c>
      <c r="C24" s="2813">
        <v>34.0</v>
      </c>
      <c r="D24" s="2813">
        <v>120.0</v>
      </c>
      <c r="E24" s="2813">
        <v>16.0</v>
      </c>
      <c r="F24" s="1006"/>
      <c r="G24" s="1006"/>
      <c r="H24" s="1006"/>
      <c r="I24" s="1006"/>
      <c r="J24" s="1006"/>
      <c r="K24" s="1006"/>
      <c r="L24" s="1006"/>
      <c r="M24" s="1006"/>
      <c r="N24" s="1006"/>
      <c r="O24" s="1006"/>
      <c r="P24" s="1006"/>
      <c r="Q24" s="1006"/>
      <c r="R24" s="1006"/>
      <c r="S24" s="1006"/>
      <c r="T24" s="1006"/>
      <c r="U24" s="1006"/>
      <c r="V24" s="1006"/>
      <c r="W24" s="1006"/>
      <c r="X24" s="1006"/>
      <c r="Y24" s="1006"/>
      <c r="Z24" s="1006"/>
    </row>
    <row r="25">
      <c r="A25" s="1006"/>
      <c r="B25" s="1006"/>
      <c r="C25" s="1006"/>
      <c r="D25" s="1006"/>
      <c r="E25" s="1006"/>
      <c r="F25" s="1006"/>
      <c r="G25" s="1006"/>
      <c r="H25" s="1006"/>
      <c r="I25" s="1006"/>
      <c r="J25" s="1006"/>
      <c r="K25" s="1006"/>
      <c r="L25" s="1006"/>
      <c r="M25" s="1006"/>
      <c r="N25" s="1006"/>
      <c r="O25" s="1006"/>
      <c r="P25" s="1006"/>
      <c r="Q25" s="1006"/>
      <c r="R25" s="1006"/>
      <c r="S25" s="1006"/>
      <c r="T25" s="1006"/>
      <c r="U25" s="1006"/>
      <c r="V25" s="1006"/>
      <c r="W25" s="1006"/>
      <c r="X25" s="1006"/>
      <c r="Y25" s="1006"/>
      <c r="Z25" s="1006"/>
    </row>
    <row r="26">
      <c r="A26" s="1006"/>
      <c r="B26" s="1006"/>
      <c r="C26" s="1006"/>
      <c r="D26" s="1006"/>
      <c r="E26" s="1006"/>
      <c r="F26" s="1006"/>
      <c r="G26" s="1006"/>
      <c r="H26" s="1006"/>
      <c r="I26" s="1006"/>
      <c r="J26" s="1006"/>
      <c r="K26" s="1006"/>
      <c r="L26" s="1006"/>
      <c r="M26" s="1006"/>
      <c r="N26" s="1006"/>
      <c r="O26" s="1006"/>
      <c r="P26" s="1006"/>
      <c r="Q26" s="1006"/>
      <c r="R26" s="1006"/>
      <c r="S26" s="1006"/>
      <c r="T26" s="1006"/>
      <c r="U26" s="1006"/>
      <c r="V26" s="1006"/>
      <c r="W26" s="1006"/>
      <c r="X26" s="1006"/>
      <c r="Y26" s="1006"/>
      <c r="Z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1006"/>
      <c r="X27" s="1006"/>
      <c r="Y27" s="1006"/>
      <c r="Z27" s="1006"/>
    </row>
    <row r="28">
      <c r="A28" s="1006"/>
      <c r="B28" s="2813"/>
      <c r="C28" s="2813" t="s">
        <v>1760</v>
      </c>
      <c r="D28" s="2813" t="s">
        <v>1761</v>
      </c>
      <c r="E28" s="2813" t="s">
        <v>1634</v>
      </c>
      <c r="F28" s="1006"/>
      <c r="G28" s="1006"/>
      <c r="H28" s="1006"/>
      <c r="I28" s="1006"/>
      <c r="J28" s="1006"/>
      <c r="K28" s="1006"/>
      <c r="L28" s="1006"/>
      <c r="M28" s="1006"/>
      <c r="N28" s="1006"/>
      <c r="O28" s="1006"/>
      <c r="P28" s="1006"/>
      <c r="Q28" s="1006"/>
      <c r="R28" s="1006"/>
      <c r="S28" s="1006"/>
      <c r="T28" s="1006"/>
      <c r="U28" s="1006"/>
      <c r="V28" s="1006"/>
      <c r="W28" s="1006"/>
      <c r="X28" s="1006"/>
      <c r="Y28" s="1006"/>
      <c r="Z28" s="1006"/>
    </row>
    <row r="29">
      <c r="A29" s="1006"/>
      <c r="B29" s="2813" t="s">
        <v>1643</v>
      </c>
      <c r="C29" s="2821">
        <v>0.2</v>
      </c>
      <c r="D29" s="2821">
        <v>0.15</v>
      </c>
      <c r="E29" s="2822">
        <f t="shared" ref="E29:E37" si="3">IF($C$2=1,C29,D29)</f>
        <v>0.15</v>
      </c>
      <c r="F29" s="1006"/>
      <c r="G29" s="1006"/>
      <c r="H29" s="1006"/>
      <c r="I29" s="1006"/>
      <c r="J29" s="1006"/>
      <c r="K29" s="1006"/>
      <c r="L29" s="1006"/>
      <c r="M29" s="1006"/>
      <c r="N29" s="1006"/>
      <c r="O29" s="1006"/>
      <c r="P29" s="1006"/>
      <c r="Q29" s="1006"/>
      <c r="R29" s="1006"/>
      <c r="S29" s="1006"/>
      <c r="T29" s="1006"/>
      <c r="U29" s="1006"/>
      <c r="V29" s="1006"/>
      <c r="W29" s="1006"/>
      <c r="X29" s="1006"/>
      <c r="Y29" s="1006"/>
      <c r="Z29" s="1006"/>
    </row>
    <row r="30">
      <c r="A30" s="1006"/>
      <c r="B30" s="2813" t="s">
        <v>1644</v>
      </c>
      <c r="C30" s="2821">
        <v>0.15</v>
      </c>
      <c r="D30" s="2821">
        <v>0.1</v>
      </c>
      <c r="E30" s="2822">
        <f t="shared" si="3"/>
        <v>0.1</v>
      </c>
      <c r="F30" s="1006"/>
      <c r="G30" s="1006"/>
      <c r="H30" s="1006"/>
      <c r="I30" s="1006"/>
      <c r="J30" s="1006"/>
      <c r="K30" s="1006"/>
      <c r="L30" s="1006"/>
      <c r="M30" s="1006"/>
      <c r="N30" s="1006"/>
      <c r="O30" s="1006"/>
      <c r="P30" s="1006"/>
      <c r="Q30" s="1006"/>
      <c r="R30" s="1006"/>
      <c r="S30" s="1006"/>
      <c r="T30" s="1006"/>
      <c r="U30" s="1006"/>
      <c r="V30" s="1006"/>
      <c r="W30" s="1006"/>
      <c r="X30" s="1006"/>
      <c r="Y30" s="1006"/>
      <c r="Z30" s="1006"/>
    </row>
    <row r="31">
      <c r="A31" s="1006"/>
      <c r="B31" s="2813" t="s">
        <v>1645</v>
      </c>
      <c r="C31" s="2821">
        <v>0.2</v>
      </c>
      <c r="D31" s="2821">
        <v>0.2</v>
      </c>
      <c r="E31" s="2822">
        <f t="shared" si="3"/>
        <v>0.2</v>
      </c>
      <c r="F31" s="1006"/>
      <c r="G31" s="1006"/>
      <c r="H31" s="1006"/>
      <c r="I31" s="1006"/>
      <c r="J31" s="1006"/>
      <c r="K31" s="1006"/>
      <c r="L31" s="1006"/>
      <c r="M31" s="1006"/>
      <c r="N31" s="1006"/>
      <c r="O31" s="1006"/>
      <c r="P31" s="1006"/>
      <c r="Q31" s="1006"/>
      <c r="R31" s="1006"/>
      <c r="S31" s="1006"/>
      <c r="T31" s="1006"/>
      <c r="U31" s="1006"/>
      <c r="V31" s="1006"/>
      <c r="W31" s="1006"/>
      <c r="X31" s="1006"/>
      <c r="Y31" s="1006"/>
      <c r="Z31" s="1006"/>
    </row>
    <row r="32">
      <c r="A32" s="1006"/>
      <c r="B32" s="2813" t="s">
        <v>1646</v>
      </c>
      <c r="C32" s="2821">
        <v>0.05</v>
      </c>
      <c r="D32" s="2821">
        <v>0.05</v>
      </c>
      <c r="E32" s="2822">
        <f t="shared" si="3"/>
        <v>0.05</v>
      </c>
      <c r="F32" s="1006"/>
      <c r="G32" s="1006"/>
      <c r="H32" s="1006"/>
      <c r="I32" s="1006"/>
      <c r="J32" s="1006"/>
      <c r="K32" s="1006"/>
      <c r="L32" s="1006"/>
      <c r="M32" s="1006"/>
      <c r="N32" s="1006"/>
      <c r="O32" s="1006"/>
      <c r="P32" s="1006"/>
      <c r="Q32" s="1006"/>
      <c r="R32" s="1006"/>
      <c r="S32" s="1006"/>
      <c r="T32" s="1006"/>
      <c r="U32" s="1006"/>
      <c r="V32" s="1006"/>
      <c r="W32" s="1006"/>
      <c r="X32" s="1006"/>
      <c r="Y32" s="1006"/>
      <c r="Z32" s="1006"/>
    </row>
    <row r="33">
      <c r="A33" s="1006"/>
      <c r="B33" s="2813" t="s">
        <v>1647</v>
      </c>
      <c r="C33" s="2821">
        <v>0.2</v>
      </c>
      <c r="D33" s="2821">
        <v>0.18</v>
      </c>
      <c r="E33" s="2822">
        <f t="shared" si="3"/>
        <v>0.18</v>
      </c>
      <c r="F33" s="1006"/>
      <c r="G33" s="1006"/>
      <c r="H33" s="1006"/>
      <c r="I33" s="1006"/>
      <c r="J33" s="1006"/>
      <c r="K33" s="1006"/>
      <c r="L33" s="1006"/>
      <c r="M33" s="1006"/>
      <c r="N33" s="1006"/>
      <c r="O33" s="1006"/>
      <c r="P33" s="1006"/>
      <c r="Q33" s="1006"/>
      <c r="R33" s="1006"/>
      <c r="S33" s="1006"/>
      <c r="T33" s="1006"/>
      <c r="U33" s="1006"/>
      <c r="V33" s="1006"/>
      <c r="W33" s="1006"/>
      <c r="X33" s="1006"/>
      <c r="Y33" s="1006"/>
      <c r="Z33" s="1006"/>
    </row>
    <row r="34">
      <c r="A34" s="1006"/>
      <c r="B34" s="2813" t="s">
        <v>1648</v>
      </c>
      <c r="C34" s="2821">
        <v>0.0</v>
      </c>
      <c r="D34" s="2821">
        <v>0.15</v>
      </c>
      <c r="E34" s="2822">
        <f t="shared" si="3"/>
        <v>0.15</v>
      </c>
      <c r="F34" s="1006"/>
      <c r="G34" s="1006"/>
      <c r="H34" s="1006"/>
      <c r="I34" s="1006"/>
      <c r="J34" s="1006"/>
      <c r="K34" s="1006"/>
      <c r="L34" s="1006"/>
      <c r="M34" s="1006"/>
      <c r="N34" s="1006"/>
      <c r="O34" s="1006"/>
      <c r="P34" s="1006"/>
      <c r="Q34" s="1006"/>
      <c r="R34" s="1006"/>
      <c r="S34" s="1006"/>
      <c r="T34" s="1006"/>
      <c r="U34" s="1006"/>
      <c r="V34" s="1006"/>
      <c r="W34" s="1006"/>
      <c r="X34" s="1006"/>
      <c r="Y34" s="1006"/>
      <c r="Z34" s="1006"/>
    </row>
    <row r="35">
      <c r="A35" s="1006"/>
      <c r="B35" s="2813" t="s">
        <v>1649</v>
      </c>
      <c r="C35" s="2821">
        <v>0.05</v>
      </c>
      <c r="D35" s="2821">
        <v>0.05</v>
      </c>
      <c r="E35" s="2822">
        <f t="shared" si="3"/>
        <v>0.05</v>
      </c>
      <c r="F35" s="1006"/>
      <c r="G35" s="1006"/>
      <c r="H35" s="1006"/>
      <c r="I35" s="1006"/>
      <c r="J35" s="1006"/>
      <c r="K35" s="1006"/>
      <c r="L35" s="1006"/>
      <c r="M35" s="1006"/>
      <c r="N35" s="1006"/>
      <c r="O35" s="1006"/>
      <c r="P35" s="1006"/>
      <c r="Q35" s="1006"/>
      <c r="R35" s="1006"/>
      <c r="S35" s="1006"/>
      <c r="T35" s="1006"/>
      <c r="U35" s="1006"/>
      <c r="V35" s="1006"/>
      <c r="W35" s="1006"/>
      <c r="X35" s="1006"/>
      <c r="Y35" s="1006"/>
      <c r="Z35" s="1006"/>
    </row>
    <row r="36">
      <c r="A36" s="1006"/>
      <c r="B36" s="2813" t="s">
        <v>1650</v>
      </c>
      <c r="C36" s="2821">
        <v>0.15</v>
      </c>
      <c r="D36" s="2821">
        <v>0.12</v>
      </c>
      <c r="E36" s="2822">
        <f t="shared" si="3"/>
        <v>0.12</v>
      </c>
      <c r="F36" s="1006"/>
      <c r="G36" s="1006"/>
      <c r="H36" s="1006"/>
      <c r="I36" s="1006"/>
      <c r="J36" s="1006"/>
      <c r="K36" s="1006"/>
      <c r="L36" s="1006"/>
      <c r="M36" s="1006"/>
      <c r="N36" s="1006"/>
      <c r="O36" s="1006"/>
      <c r="P36" s="1006"/>
      <c r="Q36" s="1006"/>
      <c r="R36" s="1006"/>
      <c r="S36" s="1006"/>
      <c r="T36" s="1006"/>
      <c r="U36" s="1006"/>
      <c r="V36" s="1006"/>
      <c r="W36" s="1006"/>
      <c r="X36" s="1006"/>
      <c r="Y36" s="1006"/>
      <c r="Z36" s="1006"/>
    </row>
    <row r="37">
      <c r="A37" s="1006"/>
      <c r="B37" s="2813"/>
      <c r="C37" s="2821">
        <f t="shared" ref="C37:D37" si="4">SUM(C29:C36)</f>
        <v>1</v>
      </c>
      <c r="D37" s="2821">
        <f t="shared" si="4"/>
        <v>1</v>
      </c>
      <c r="E37" s="2822">
        <f t="shared" si="3"/>
        <v>1</v>
      </c>
      <c r="F37" s="1006"/>
      <c r="G37" s="1006"/>
      <c r="H37" s="1006"/>
      <c r="I37" s="1006"/>
      <c r="J37" s="1006"/>
      <c r="K37" s="1006"/>
      <c r="L37" s="1006"/>
      <c r="M37" s="1006"/>
      <c r="N37" s="1006"/>
      <c r="O37" s="1006"/>
      <c r="P37" s="1006"/>
      <c r="Q37" s="1006"/>
      <c r="R37" s="1006"/>
      <c r="S37" s="1006"/>
      <c r="T37" s="1006"/>
      <c r="U37" s="1006"/>
      <c r="V37" s="1006"/>
      <c r="W37" s="1006"/>
      <c r="X37" s="1006"/>
      <c r="Y37" s="1006"/>
      <c r="Z37" s="1006"/>
    </row>
    <row r="38">
      <c r="A38" s="1006"/>
      <c r="B38" s="1006"/>
      <c r="C38" s="1006"/>
      <c r="D38" s="1006"/>
      <c r="E38" s="1006"/>
      <c r="F38" s="1006"/>
      <c r="G38" s="1006"/>
      <c r="H38" s="1006"/>
      <c r="I38" s="1006"/>
      <c r="J38" s="1006"/>
      <c r="K38" s="1006"/>
      <c r="L38" s="1006"/>
      <c r="M38" s="1006"/>
      <c r="N38" s="1006"/>
      <c r="O38" s="1006"/>
      <c r="P38" s="1006"/>
      <c r="Q38" s="1006"/>
      <c r="R38" s="1006"/>
      <c r="S38" s="1006"/>
      <c r="T38" s="1006"/>
      <c r="U38" s="1006"/>
      <c r="V38" s="1006"/>
      <c r="W38" s="1006"/>
      <c r="X38" s="1006"/>
      <c r="Y38" s="1006"/>
      <c r="Z38" s="1006"/>
    </row>
    <row r="39">
      <c r="A39" s="1006"/>
      <c r="B39" s="1006"/>
      <c r="C39" s="1006"/>
      <c r="D39" s="1006"/>
      <c r="E39" s="1006"/>
      <c r="F39" s="1006"/>
      <c r="G39" s="1006"/>
      <c r="H39" s="1006"/>
      <c r="I39" s="1006"/>
      <c r="J39" s="1006"/>
      <c r="K39" s="1006"/>
      <c r="L39" s="1006"/>
      <c r="M39" s="1006"/>
      <c r="N39" s="1006"/>
      <c r="O39" s="1006"/>
      <c r="P39" s="1006"/>
      <c r="Q39" s="1006"/>
      <c r="R39" s="1006"/>
      <c r="S39" s="1006"/>
      <c r="T39" s="1006"/>
      <c r="U39" s="1006"/>
      <c r="V39" s="1006"/>
      <c r="W39" s="1006"/>
      <c r="X39" s="1006"/>
      <c r="Y39" s="1006"/>
      <c r="Z39" s="1006"/>
    </row>
    <row r="40">
      <c r="A40" s="2813"/>
      <c r="B40" s="2823" t="s">
        <v>1762</v>
      </c>
      <c r="C40" s="2813"/>
      <c r="D40" s="2813"/>
      <c r="E40" s="2813"/>
      <c r="F40" s="2813"/>
      <c r="G40" s="2819">
        <v>5.0</v>
      </c>
      <c r="H40" s="2824" t="str">
        <f>VLOOKUP(G40,A41:E93,5,0)</f>
        <v>Campeche, Campeche / fajuste 0.967</v>
      </c>
      <c r="I40" s="2816"/>
      <c r="J40" s="2817">
        <f>VLOOKUP(G40,A41:D93,4,0)</f>
        <v>0.967</v>
      </c>
      <c r="K40" s="1006"/>
      <c r="L40" s="1006"/>
      <c r="M40" s="1006"/>
      <c r="N40" s="1006"/>
      <c r="O40" s="1006"/>
      <c r="P40" s="1006"/>
      <c r="Q40" s="1006"/>
      <c r="R40" s="1006"/>
      <c r="S40" s="1006"/>
      <c r="T40" s="1006"/>
      <c r="U40" s="1006"/>
      <c r="V40" s="1006"/>
      <c r="W40" s="1006"/>
      <c r="X40" s="1006"/>
      <c r="Y40" s="1006"/>
      <c r="Z40" s="1006"/>
    </row>
    <row r="41">
      <c r="A41" s="2813">
        <v>1.0</v>
      </c>
      <c r="B41" s="2813" t="s">
        <v>1763</v>
      </c>
      <c r="C41" s="2813" t="s">
        <v>1764</v>
      </c>
      <c r="D41" s="2813">
        <v>1.036</v>
      </c>
      <c r="E41" s="2813" t="str">
        <f t="shared" ref="E41:E93" si="5">CONCATENATE(B41,","," ",C41," /"," fajuste"," ",D41)</f>
        <v>Acapulco, Guerrero / fajuste 1.036</v>
      </c>
      <c r="F41" s="2813"/>
      <c r="G41" s="1006"/>
      <c r="H41" s="1006"/>
      <c r="I41" s="1006"/>
      <c r="J41" s="1006"/>
      <c r="K41" s="1006"/>
      <c r="L41" s="1006"/>
      <c r="M41" s="1006"/>
      <c r="N41" s="1006"/>
      <c r="O41" s="1006"/>
      <c r="P41" s="1006"/>
      <c r="Q41" s="1006"/>
      <c r="R41" s="1006"/>
      <c r="S41" s="1006"/>
      <c r="T41" s="1006"/>
      <c r="U41" s="1006"/>
      <c r="V41" s="1006"/>
      <c r="W41" s="1006"/>
      <c r="X41" s="1006"/>
      <c r="Y41" s="1006"/>
      <c r="Z41" s="1006"/>
    </row>
    <row r="42">
      <c r="A42" s="2813">
        <v>2.0</v>
      </c>
      <c r="B42" s="2813" t="s">
        <v>1765</v>
      </c>
      <c r="C42" s="2813" t="s">
        <v>1765</v>
      </c>
      <c r="D42" s="2813">
        <v>0.964</v>
      </c>
      <c r="E42" s="2813" t="str">
        <f t="shared" si="5"/>
        <v>Aguascalientes, Aguascalientes / fajuste 0.964</v>
      </c>
      <c r="F42" s="2813"/>
      <c r="G42" s="1006"/>
      <c r="H42" s="1006"/>
      <c r="I42" s="1006"/>
      <c r="J42" s="1006"/>
      <c r="K42" s="1006"/>
      <c r="L42" s="1006"/>
      <c r="M42" s="1006"/>
      <c r="N42" s="1006"/>
      <c r="O42" s="1006"/>
      <c r="P42" s="1006"/>
      <c r="Q42" s="1006"/>
      <c r="R42" s="1006"/>
      <c r="S42" s="1006"/>
      <c r="T42" s="1006"/>
      <c r="U42" s="1006"/>
      <c r="V42" s="1006"/>
      <c r="W42" s="1006"/>
      <c r="X42" s="1006"/>
      <c r="Y42" s="1006"/>
      <c r="Z42" s="1006"/>
    </row>
    <row r="43">
      <c r="A43" s="2813">
        <v>3.0</v>
      </c>
      <c r="B43" s="2813" t="s">
        <v>1766</v>
      </c>
      <c r="C43" s="2813" t="s">
        <v>1767</v>
      </c>
      <c r="D43" s="2813">
        <v>0.964</v>
      </c>
      <c r="E43" s="2813" t="str">
        <f t="shared" si="5"/>
        <v>Altamira, Tamaulipas / fajuste 0.964</v>
      </c>
      <c r="F43" s="2813"/>
      <c r="G43" s="1006"/>
      <c r="H43" s="1006"/>
      <c r="I43" s="1006"/>
      <c r="J43" s="1006"/>
      <c r="K43" s="1006"/>
      <c r="L43" s="1006"/>
      <c r="M43" s="1006"/>
      <c r="N43" s="1006"/>
      <c r="O43" s="1006"/>
      <c r="P43" s="1006"/>
      <c r="Q43" s="1006"/>
      <c r="R43" s="1006"/>
      <c r="S43" s="1006"/>
      <c r="T43" s="1006"/>
      <c r="U43" s="1006"/>
      <c r="V43" s="1006"/>
      <c r="W43" s="1006"/>
      <c r="X43" s="1006"/>
      <c r="Y43" s="1006"/>
      <c r="Z43" s="1006"/>
    </row>
    <row r="44">
      <c r="A44" s="2813">
        <v>4.0</v>
      </c>
      <c r="B44" s="2813" t="s">
        <v>1768</v>
      </c>
      <c r="C44" s="2813" t="s">
        <v>1769</v>
      </c>
      <c r="D44" s="2813">
        <v>1.052</v>
      </c>
      <c r="E44" s="2813" t="str">
        <f t="shared" si="5"/>
        <v>Apodaca, Nuevo León / fajuste 1.052</v>
      </c>
      <c r="F44" s="2813"/>
      <c r="G44" s="1006"/>
      <c r="H44" s="1006"/>
      <c r="I44" s="1006"/>
      <c r="J44" s="1006"/>
      <c r="K44" s="1006"/>
      <c r="L44" s="1006"/>
      <c r="M44" s="1006"/>
      <c r="N44" s="1006"/>
      <c r="O44" s="1006"/>
      <c r="P44" s="1006"/>
      <c r="Q44" s="1006"/>
      <c r="R44" s="1006"/>
      <c r="S44" s="1006"/>
      <c r="T44" s="1006"/>
      <c r="U44" s="1006"/>
      <c r="V44" s="1006"/>
      <c r="W44" s="1006"/>
      <c r="X44" s="1006"/>
      <c r="Y44" s="1006"/>
      <c r="Z44" s="1006"/>
    </row>
    <row r="45">
      <c r="A45" s="2813">
        <v>5.0</v>
      </c>
      <c r="B45" s="2813" t="s">
        <v>1770</v>
      </c>
      <c r="C45" s="2813" t="s">
        <v>1770</v>
      </c>
      <c r="D45" s="2813">
        <v>0.967</v>
      </c>
      <c r="E45" s="2813" t="str">
        <f t="shared" si="5"/>
        <v>Campeche, Campeche / fajuste 0.967</v>
      </c>
      <c r="F45" s="2813"/>
      <c r="G45" s="1006"/>
      <c r="H45" s="1006"/>
      <c r="I45" s="1006"/>
      <c r="J45" s="1006"/>
      <c r="K45" s="1006"/>
      <c r="L45" s="1006"/>
      <c r="M45" s="1006"/>
      <c r="N45" s="1006"/>
      <c r="O45" s="1006"/>
      <c r="P45" s="1006"/>
      <c r="Q45" s="1006"/>
      <c r="R45" s="1006"/>
      <c r="S45" s="1006"/>
      <c r="T45" s="1006"/>
      <c r="U45" s="1006"/>
      <c r="V45" s="1006"/>
      <c r="W45" s="1006"/>
      <c r="X45" s="1006"/>
      <c r="Y45" s="1006"/>
      <c r="Z45" s="1006"/>
    </row>
    <row r="46">
      <c r="A46" s="2813">
        <v>6.0</v>
      </c>
      <c r="B46" s="2813" t="s">
        <v>1771</v>
      </c>
      <c r="C46" s="2813" t="s">
        <v>1772</v>
      </c>
      <c r="D46" s="2813">
        <v>1.112</v>
      </c>
      <c r="E46" s="2813" t="str">
        <f t="shared" si="5"/>
        <v>Cancún, Quintana Roo / fajuste 1.112</v>
      </c>
      <c r="F46" s="2813"/>
      <c r="G46" s="1006"/>
      <c r="H46" s="1006"/>
      <c r="I46" s="1006"/>
      <c r="J46" s="1006"/>
      <c r="K46" s="1006"/>
      <c r="L46" s="1006"/>
      <c r="M46" s="1006"/>
      <c r="N46" s="1006"/>
      <c r="O46" s="1006"/>
      <c r="P46" s="1006"/>
      <c r="Q46" s="1006"/>
      <c r="R46" s="1006"/>
      <c r="S46" s="1006"/>
      <c r="T46" s="1006"/>
      <c r="U46" s="1006"/>
      <c r="V46" s="1006"/>
      <c r="W46" s="1006"/>
      <c r="X46" s="1006"/>
      <c r="Y46" s="1006"/>
      <c r="Z46" s="1006"/>
    </row>
    <row r="47">
      <c r="A47" s="2813">
        <v>7.0</v>
      </c>
      <c r="B47" s="2813" t="s">
        <v>1773</v>
      </c>
      <c r="C47" s="2813" t="s">
        <v>1773</v>
      </c>
      <c r="D47" s="2813">
        <v>0.992</v>
      </c>
      <c r="E47" s="2813" t="str">
        <f t="shared" si="5"/>
        <v>Chihuahua, Chihuahua / fajuste 0.992</v>
      </c>
      <c r="F47" s="2813"/>
      <c r="G47" s="1006"/>
      <c r="H47" s="1006"/>
      <c r="I47" s="1006"/>
      <c r="J47" s="1006"/>
      <c r="K47" s="1006"/>
      <c r="L47" s="1006"/>
      <c r="M47" s="1006"/>
      <c r="N47" s="1006"/>
      <c r="O47" s="1006"/>
      <c r="P47" s="1006"/>
      <c r="Q47" s="1006"/>
      <c r="R47" s="1006"/>
      <c r="S47" s="1006"/>
      <c r="T47" s="1006"/>
      <c r="U47" s="1006"/>
      <c r="V47" s="1006"/>
      <c r="W47" s="1006"/>
      <c r="X47" s="1006"/>
      <c r="Y47" s="1006"/>
      <c r="Z47" s="1006"/>
    </row>
    <row r="48">
      <c r="A48" s="2813">
        <v>8.0</v>
      </c>
      <c r="B48" s="2813" t="s">
        <v>1774</v>
      </c>
      <c r="C48" s="2813" t="s">
        <v>1764</v>
      </c>
      <c r="D48" s="2813">
        <v>0.994</v>
      </c>
      <c r="E48" s="2813" t="str">
        <f t="shared" si="5"/>
        <v>Chilpancingo, Guerrero / fajuste 0.994</v>
      </c>
      <c r="F48" s="2813"/>
      <c r="G48" s="1006"/>
      <c r="H48" s="1006"/>
      <c r="I48" s="1006"/>
      <c r="J48" s="1006"/>
      <c r="K48" s="1006"/>
      <c r="L48" s="1006"/>
      <c r="M48" s="1006"/>
      <c r="N48" s="1006"/>
      <c r="O48" s="1006"/>
      <c r="P48" s="1006"/>
      <c r="Q48" s="1006"/>
      <c r="R48" s="1006"/>
      <c r="S48" s="1006"/>
      <c r="T48" s="1006"/>
      <c r="U48" s="1006"/>
      <c r="V48" s="1006"/>
      <c r="W48" s="1006"/>
      <c r="X48" s="1006"/>
      <c r="Y48" s="1006"/>
      <c r="Z48" s="1006"/>
    </row>
    <row r="49">
      <c r="A49" s="2813">
        <v>9.0</v>
      </c>
      <c r="B49" s="2813" t="s">
        <v>1775</v>
      </c>
      <c r="C49" s="2813" t="s">
        <v>1773</v>
      </c>
      <c r="D49" s="2813">
        <v>1.048</v>
      </c>
      <c r="E49" s="2813" t="str">
        <f t="shared" si="5"/>
        <v>Ciudad Juárez, Chihuahua / fajuste 1.048</v>
      </c>
      <c r="F49" s="2813"/>
      <c r="G49" s="1006"/>
      <c r="H49" s="1006"/>
      <c r="I49" s="1006"/>
      <c r="J49" s="1006"/>
      <c r="K49" s="1006"/>
      <c r="L49" s="1006"/>
      <c r="M49" s="1006"/>
      <c r="N49" s="1006"/>
      <c r="O49" s="1006"/>
      <c r="P49" s="1006"/>
      <c r="Q49" s="1006"/>
      <c r="R49" s="1006"/>
      <c r="S49" s="1006"/>
      <c r="T49" s="1006"/>
      <c r="U49" s="1006"/>
      <c r="V49" s="1006"/>
      <c r="W49" s="1006"/>
      <c r="X49" s="1006"/>
      <c r="Y49" s="1006"/>
      <c r="Z49" s="1006"/>
    </row>
    <row r="50">
      <c r="A50" s="2813">
        <v>10.0</v>
      </c>
      <c r="B50" s="2813" t="s">
        <v>1776</v>
      </c>
      <c r="C50" s="2813" t="s">
        <v>1776</v>
      </c>
      <c r="D50" s="2813">
        <v>0.994</v>
      </c>
      <c r="E50" s="2813" t="str">
        <f t="shared" si="5"/>
        <v>Colima, Colima / fajuste 0.994</v>
      </c>
      <c r="F50" s="2813"/>
      <c r="G50" s="1006"/>
      <c r="H50" s="1006"/>
      <c r="I50" s="1006"/>
      <c r="J50" s="1006"/>
      <c r="K50" s="1006"/>
      <c r="L50" s="1006"/>
      <c r="M50" s="1006"/>
      <c r="N50" s="1006"/>
      <c r="O50" s="1006"/>
      <c r="P50" s="1006"/>
      <c r="Q50" s="1006"/>
      <c r="R50" s="1006"/>
      <c r="S50" s="1006"/>
      <c r="T50" s="1006"/>
      <c r="U50" s="1006"/>
      <c r="V50" s="1006"/>
      <c r="W50" s="1006"/>
      <c r="X50" s="1006"/>
      <c r="Y50" s="1006"/>
      <c r="Z50" s="1006"/>
    </row>
    <row r="51">
      <c r="A51" s="2813">
        <v>11.0</v>
      </c>
      <c r="B51" s="2813" t="s">
        <v>1777</v>
      </c>
      <c r="C51" s="2813" t="s">
        <v>1772</v>
      </c>
      <c r="D51" s="2813">
        <v>1.24</v>
      </c>
      <c r="E51" s="2813" t="str">
        <f t="shared" si="5"/>
        <v>Cozumel , Quintana Roo / fajuste 1.24</v>
      </c>
      <c r="F51" s="2813"/>
      <c r="G51" s="1006"/>
      <c r="H51" s="1006"/>
      <c r="I51" s="1006"/>
      <c r="J51" s="1006"/>
      <c r="K51" s="1006"/>
      <c r="L51" s="1006"/>
      <c r="M51" s="1006"/>
      <c r="N51" s="1006"/>
      <c r="O51" s="1006"/>
      <c r="P51" s="1006"/>
      <c r="Q51" s="1006"/>
      <c r="R51" s="1006"/>
      <c r="S51" s="1006"/>
      <c r="T51" s="1006"/>
      <c r="U51" s="1006"/>
      <c r="V51" s="1006"/>
      <c r="W51" s="1006"/>
      <c r="X51" s="1006"/>
      <c r="Y51" s="1006"/>
      <c r="Z51" s="1006"/>
    </row>
    <row r="52">
      <c r="A52" s="2813">
        <v>12.0</v>
      </c>
      <c r="B52" s="2813" t="s">
        <v>1778</v>
      </c>
      <c r="C52" s="2813" t="s">
        <v>1779</v>
      </c>
      <c r="D52" s="2813">
        <v>0.969</v>
      </c>
      <c r="E52" s="2813" t="str">
        <f t="shared" si="5"/>
        <v>Cuautitlán, México / fajuste 0.969</v>
      </c>
      <c r="F52" s="2813"/>
      <c r="G52" s="1006"/>
      <c r="H52" s="1006"/>
      <c r="I52" s="1006"/>
      <c r="J52" s="1006"/>
      <c r="K52" s="1006"/>
      <c r="L52" s="1006"/>
      <c r="M52" s="1006"/>
      <c r="N52" s="1006"/>
      <c r="O52" s="1006"/>
      <c r="P52" s="1006"/>
      <c r="Q52" s="1006"/>
      <c r="R52" s="1006"/>
      <c r="S52" s="1006"/>
      <c r="T52" s="1006"/>
      <c r="U52" s="1006"/>
      <c r="V52" s="1006"/>
      <c r="W52" s="1006"/>
      <c r="X52" s="1006"/>
      <c r="Y52" s="1006"/>
      <c r="Z52" s="1006"/>
    </row>
    <row r="53">
      <c r="A53" s="2813">
        <v>13.0</v>
      </c>
      <c r="B53" s="2813" t="s">
        <v>1780</v>
      </c>
      <c r="C53" s="2813" t="s">
        <v>1781</v>
      </c>
      <c r="D53" s="2813">
        <v>0.907</v>
      </c>
      <c r="E53" s="2813" t="str">
        <f t="shared" si="5"/>
        <v>Cuautla, Morelos / fajuste 0.907</v>
      </c>
      <c r="F53" s="2813"/>
      <c r="G53" s="1006"/>
      <c r="H53" s="1006"/>
      <c r="I53" s="1006"/>
      <c r="J53" s="1006"/>
      <c r="K53" s="1006"/>
      <c r="L53" s="1006"/>
      <c r="M53" s="1006"/>
      <c r="N53" s="1006"/>
      <c r="O53" s="1006"/>
      <c r="P53" s="1006"/>
      <c r="Q53" s="1006"/>
      <c r="R53" s="1006"/>
      <c r="S53" s="1006"/>
      <c r="T53" s="1006"/>
      <c r="U53" s="1006"/>
      <c r="V53" s="1006"/>
      <c r="W53" s="1006"/>
      <c r="X53" s="1006"/>
      <c r="Y53" s="1006"/>
      <c r="Z53" s="1006"/>
    </row>
    <row r="54">
      <c r="A54" s="2813">
        <v>14.0</v>
      </c>
      <c r="B54" s="2813" t="s">
        <v>1782</v>
      </c>
      <c r="C54" s="2813" t="s">
        <v>1781</v>
      </c>
      <c r="D54" s="2813">
        <v>0.993</v>
      </c>
      <c r="E54" s="2813" t="str">
        <f t="shared" si="5"/>
        <v>Cuernavaca, Morelos / fajuste 0.993</v>
      </c>
      <c r="F54" s="2813"/>
      <c r="G54" s="1006"/>
      <c r="H54" s="1006"/>
      <c r="I54" s="1006"/>
      <c r="J54" s="1006"/>
      <c r="K54" s="1006"/>
      <c r="L54" s="1006"/>
      <c r="M54" s="1006"/>
      <c r="N54" s="1006"/>
      <c r="O54" s="1006"/>
      <c r="P54" s="1006"/>
      <c r="Q54" s="1006"/>
      <c r="R54" s="1006"/>
      <c r="S54" s="1006"/>
      <c r="T54" s="1006"/>
      <c r="U54" s="1006"/>
      <c r="V54" s="1006"/>
      <c r="W54" s="1006"/>
      <c r="X54" s="1006"/>
      <c r="Y54" s="1006"/>
      <c r="Z54" s="1006"/>
    </row>
    <row r="55">
      <c r="A55" s="2813">
        <v>15.0</v>
      </c>
      <c r="B55" s="2813" t="s">
        <v>1783</v>
      </c>
      <c r="C55" s="2813" t="s">
        <v>1784</v>
      </c>
      <c r="D55" s="2813">
        <v>1.074</v>
      </c>
      <c r="E55" s="2813" t="str">
        <f t="shared" si="5"/>
        <v>Culiacán, Sinaloa / fajuste 1.074</v>
      </c>
      <c r="F55" s="2813"/>
      <c r="G55" s="1006"/>
      <c r="H55" s="1006"/>
      <c r="I55" s="1006"/>
      <c r="J55" s="1006"/>
      <c r="K55" s="1006"/>
      <c r="L55" s="1006"/>
      <c r="M55" s="1006"/>
      <c r="N55" s="1006"/>
      <c r="O55" s="1006"/>
      <c r="P55" s="1006"/>
      <c r="Q55" s="1006"/>
      <c r="R55" s="1006"/>
      <c r="S55" s="1006"/>
      <c r="T55" s="1006"/>
      <c r="U55" s="1006"/>
      <c r="V55" s="1006"/>
      <c r="W55" s="1006"/>
      <c r="X55" s="1006"/>
      <c r="Y55" s="1006"/>
      <c r="Z55" s="1006"/>
    </row>
    <row r="56">
      <c r="A56" s="2813">
        <v>16.0</v>
      </c>
      <c r="B56" s="2813" t="s">
        <v>1785</v>
      </c>
      <c r="C56" s="2813" t="s">
        <v>1785</v>
      </c>
      <c r="D56" s="2813">
        <v>0.94</v>
      </c>
      <c r="E56" s="2813" t="str">
        <f t="shared" si="5"/>
        <v>Durango, Durango / fajuste 0.94</v>
      </c>
      <c r="F56" s="2813"/>
      <c r="G56" s="1006"/>
      <c r="H56" s="1006"/>
      <c r="I56" s="1006"/>
      <c r="J56" s="1006"/>
      <c r="K56" s="1006"/>
      <c r="L56" s="1006"/>
      <c r="M56" s="1006"/>
      <c r="N56" s="1006"/>
      <c r="O56" s="1006"/>
      <c r="P56" s="1006"/>
      <c r="Q56" s="1006"/>
      <c r="R56" s="1006"/>
      <c r="S56" s="1006"/>
      <c r="T56" s="1006"/>
      <c r="U56" s="1006"/>
      <c r="V56" s="1006"/>
      <c r="W56" s="1006"/>
      <c r="X56" s="1006"/>
      <c r="Y56" s="1006"/>
      <c r="Z56" s="1006"/>
    </row>
    <row r="57">
      <c r="A57" s="2813">
        <v>17.0</v>
      </c>
      <c r="B57" s="2813" t="s">
        <v>1786</v>
      </c>
      <c r="C57" s="2813" t="s">
        <v>1787</v>
      </c>
      <c r="D57" s="2813">
        <v>1.138</v>
      </c>
      <c r="E57" s="2813" t="str">
        <f t="shared" si="5"/>
        <v>Ensenada, Baja California / fajuste 1.138</v>
      </c>
      <c r="F57" s="2813"/>
      <c r="G57" s="1006"/>
      <c r="H57" s="1006"/>
      <c r="I57" s="1006"/>
      <c r="J57" s="1006"/>
      <c r="K57" s="1006"/>
      <c r="L57" s="1006"/>
      <c r="M57" s="1006"/>
      <c r="N57" s="1006"/>
      <c r="O57" s="1006"/>
      <c r="P57" s="1006"/>
      <c r="Q57" s="1006"/>
      <c r="R57" s="1006"/>
      <c r="S57" s="1006"/>
      <c r="T57" s="1006"/>
      <c r="U57" s="1006"/>
      <c r="V57" s="1006"/>
      <c r="W57" s="1006"/>
      <c r="X57" s="1006"/>
      <c r="Y57" s="1006"/>
      <c r="Z57" s="1006"/>
    </row>
    <row r="58">
      <c r="A58" s="2813">
        <v>18.0</v>
      </c>
      <c r="B58" s="2813" t="s">
        <v>776</v>
      </c>
      <c r="C58" s="2813" t="s">
        <v>1788</v>
      </c>
      <c r="D58" s="2813">
        <v>0.964</v>
      </c>
      <c r="E58" s="2813" t="str">
        <f t="shared" si="5"/>
        <v>Guadalajara, Jalisco / fajuste 0.964</v>
      </c>
      <c r="F58" s="2813"/>
      <c r="G58" s="1006"/>
      <c r="H58" s="1006"/>
      <c r="I58" s="1006"/>
      <c r="J58" s="1006"/>
      <c r="K58" s="1006"/>
      <c r="L58" s="1006"/>
      <c r="M58" s="1006"/>
      <c r="N58" s="1006"/>
      <c r="O58" s="1006"/>
      <c r="P58" s="1006"/>
      <c r="Q58" s="1006"/>
      <c r="R58" s="1006"/>
      <c r="S58" s="1006"/>
      <c r="T58" s="1006"/>
      <c r="U58" s="1006"/>
      <c r="V58" s="1006"/>
      <c r="W58" s="1006"/>
      <c r="X58" s="1006"/>
      <c r="Y58" s="1006"/>
      <c r="Z58" s="1006"/>
    </row>
    <row r="59">
      <c r="A59" s="2813">
        <v>19.0</v>
      </c>
      <c r="B59" s="2813" t="s">
        <v>1789</v>
      </c>
      <c r="C59" s="2813" t="s">
        <v>1790</v>
      </c>
      <c r="D59" s="2813">
        <v>1.01</v>
      </c>
      <c r="E59" s="2813" t="str">
        <f t="shared" si="5"/>
        <v>Hermosillo, Sonora / fajuste 1.01</v>
      </c>
      <c r="F59" s="2813"/>
      <c r="G59" s="1006"/>
      <c r="H59" s="1006"/>
      <c r="I59" s="1006"/>
      <c r="J59" s="1006"/>
      <c r="K59" s="1006"/>
      <c r="L59" s="1006"/>
      <c r="M59" s="1006"/>
      <c r="N59" s="1006"/>
      <c r="O59" s="1006"/>
      <c r="P59" s="1006"/>
      <c r="Q59" s="1006"/>
      <c r="R59" s="1006"/>
      <c r="S59" s="1006"/>
      <c r="T59" s="1006"/>
      <c r="U59" s="1006"/>
      <c r="V59" s="1006"/>
      <c r="W59" s="1006"/>
      <c r="X59" s="1006"/>
      <c r="Y59" s="1006"/>
      <c r="Z59" s="1006"/>
    </row>
    <row r="60">
      <c r="A60" s="2813">
        <v>20.0</v>
      </c>
      <c r="B60" s="2813" t="s">
        <v>1791</v>
      </c>
      <c r="C60" s="2813" t="s">
        <v>1792</v>
      </c>
      <c r="D60" s="2813">
        <v>1.063</v>
      </c>
      <c r="E60" s="2813" t="str">
        <f t="shared" si="5"/>
        <v>Huatulco, Oaxaca / fajuste 1.063</v>
      </c>
      <c r="F60" s="2813"/>
      <c r="G60" s="1006"/>
      <c r="H60" s="1006"/>
      <c r="I60" s="1006"/>
      <c r="J60" s="1006"/>
      <c r="K60" s="1006"/>
      <c r="L60" s="1006"/>
      <c r="M60" s="1006"/>
      <c r="N60" s="1006"/>
      <c r="O60" s="1006"/>
      <c r="P60" s="1006"/>
      <c r="Q60" s="1006"/>
      <c r="R60" s="1006"/>
      <c r="S60" s="1006"/>
      <c r="T60" s="1006"/>
      <c r="U60" s="1006"/>
      <c r="V60" s="1006"/>
      <c r="W60" s="1006"/>
      <c r="X60" s="1006"/>
      <c r="Y60" s="1006"/>
      <c r="Z60" s="1006"/>
    </row>
    <row r="61">
      <c r="A61" s="2813">
        <v>21.0</v>
      </c>
      <c r="B61" s="2813" t="s">
        <v>1793</v>
      </c>
      <c r="C61" s="2813" t="s">
        <v>1794</v>
      </c>
      <c r="D61" s="2813">
        <v>0.843</v>
      </c>
      <c r="E61" s="2813" t="str">
        <f t="shared" si="5"/>
        <v>Jalapa, Veracruz / fajuste 0.843</v>
      </c>
      <c r="F61" s="2813"/>
      <c r="G61" s="1006"/>
      <c r="H61" s="1006"/>
      <c r="I61" s="1006"/>
      <c r="J61" s="1006"/>
      <c r="K61" s="1006"/>
      <c r="L61" s="1006"/>
      <c r="M61" s="1006"/>
      <c r="N61" s="1006"/>
      <c r="O61" s="1006"/>
      <c r="P61" s="1006"/>
      <c r="Q61" s="1006"/>
      <c r="R61" s="1006"/>
      <c r="S61" s="1006"/>
      <c r="T61" s="1006"/>
      <c r="U61" s="1006"/>
      <c r="V61" s="1006"/>
      <c r="W61" s="1006"/>
      <c r="X61" s="1006"/>
      <c r="Y61" s="1006"/>
      <c r="Z61" s="1006"/>
    </row>
    <row r="62">
      <c r="A62" s="2813">
        <v>22.0</v>
      </c>
      <c r="B62" s="2813" t="s">
        <v>1795</v>
      </c>
      <c r="C62" s="2813" t="s">
        <v>1796</v>
      </c>
      <c r="D62" s="2813">
        <v>1.177</v>
      </c>
      <c r="E62" s="2813" t="str">
        <f t="shared" si="5"/>
        <v>La Paz, Baja California Sur / fajuste 1.177</v>
      </c>
      <c r="F62" s="2813"/>
      <c r="G62" s="1006"/>
      <c r="H62" s="1006"/>
      <c r="I62" s="1006"/>
      <c r="J62" s="1006"/>
      <c r="K62" s="1006"/>
      <c r="L62" s="1006"/>
      <c r="M62" s="1006"/>
      <c r="N62" s="1006"/>
      <c r="O62" s="1006"/>
      <c r="P62" s="1006"/>
      <c r="Q62" s="1006"/>
      <c r="R62" s="1006"/>
      <c r="S62" s="1006"/>
      <c r="T62" s="1006"/>
      <c r="U62" s="1006"/>
      <c r="V62" s="1006"/>
      <c r="W62" s="1006"/>
      <c r="X62" s="1006"/>
      <c r="Y62" s="1006"/>
      <c r="Z62" s="1006"/>
    </row>
    <row r="63">
      <c r="A63" s="2813">
        <v>23.0</v>
      </c>
      <c r="B63" s="2813" t="s">
        <v>1797</v>
      </c>
      <c r="C63" s="2813" t="s">
        <v>1798</v>
      </c>
      <c r="D63" s="2813">
        <v>0.892</v>
      </c>
      <c r="E63" s="2813" t="str">
        <f t="shared" si="5"/>
        <v>Lázaro Cárdenas, Michoacán / fajuste 0.892</v>
      </c>
      <c r="F63" s="2813"/>
      <c r="G63" s="1006"/>
      <c r="H63" s="1006"/>
      <c r="I63" s="1006"/>
      <c r="J63" s="1006"/>
      <c r="K63" s="1006"/>
      <c r="L63" s="1006"/>
      <c r="M63" s="1006"/>
      <c r="N63" s="1006"/>
      <c r="O63" s="1006"/>
      <c r="P63" s="1006"/>
      <c r="Q63" s="1006"/>
      <c r="R63" s="1006"/>
      <c r="S63" s="1006"/>
      <c r="T63" s="1006"/>
      <c r="U63" s="1006"/>
      <c r="V63" s="1006"/>
      <c r="W63" s="1006"/>
      <c r="X63" s="1006"/>
      <c r="Y63" s="1006"/>
      <c r="Z63" s="1006"/>
    </row>
    <row r="64">
      <c r="A64" s="2813">
        <v>24.0</v>
      </c>
      <c r="B64" s="2813" t="s">
        <v>1799</v>
      </c>
      <c r="C64" s="2813" t="s">
        <v>1800</v>
      </c>
      <c r="D64" s="2813">
        <v>1.045</v>
      </c>
      <c r="E64" s="2813" t="str">
        <f t="shared" si="5"/>
        <v>León, Guanajuato / fajuste 1.045</v>
      </c>
      <c r="F64" s="2813"/>
      <c r="G64" s="1006"/>
      <c r="H64" s="1006"/>
      <c r="I64" s="1006"/>
      <c r="J64" s="1006"/>
      <c r="K64" s="1006"/>
      <c r="L64" s="1006"/>
      <c r="M64" s="1006"/>
      <c r="N64" s="1006"/>
      <c r="O64" s="1006"/>
      <c r="P64" s="1006"/>
      <c r="Q64" s="1006"/>
      <c r="R64" s="1006"/>
      <c r="S64" s="1006"/>
      <c r="T64" s="1006"/>
      <c r="U64" s="1006"/>
      <c r="V64" s="1006"/>
      <c r="W64" s="1006"/>
      <c r="X64" s="1006"/>
      <c r="Y64" s="1006"/>
      <c r="Z64" s="1006"/>
    </row>
    <row r="65">
      <c r="A65" s="2813">
        <v>25.0</v>
      </c>
      <c r="B65" s="2813" t="s">
        <v>1801</v>
      </c>
      <c r="C65" s="2813" t="s">
        <v>1779</v>
      </c>
      <c r="D65" s="2813">
        <v>0.877</v>
      </c>
      <c r="E65" s="2813" t="str">
        <f t="shared" si="5"/>
        <v>Lerma, México / fajuste 0.877</v>
      </c>
      <c r="F65" s="2813"/>
      <c r="G65" s="1006"/>
      <c r="H65" s="1006"/>
      <c r="I65" s="1006"/>
      <c r="J65" s="1006"/>
      <c r="K65" s="1006"/>
      <c r="L65" s="1006"/>
      <c r="M65" s="1006"/>
      <c r="N65" s="1006"/>
      <c r="O65" s="1006"/>
      <c r="P65" s="1006"/>
      <c r="Q65" s="1006"/>
      <c r="R65" s="1006"/>
      <c r="S65" s="1006"/>
      <c r="T65" s="1006"/>
      <c r="U65" s="1006"/>
      <c r="V65" s="1006"/>
      <c r="W65" s="1006"/>
      <c r="X65" s="1006"/>
      <c r="Y65" s="1006"/>
      <c r="Z65" s="1006"/>
    </row>
    <row r="66">
      <c r="A66" s="2813">
        <v>26.0</v>
      </c>
      <c r="B66" s="2813" t="s">
        <v>1802</v>
      </c>
      <c r="C66" s="2813" t="s">
        <v>1776</v>
      </c>
      <c r="D66" s="2813">
        <v>0.896</v>
      </c>
      <c r="E66" s="2813" t="str">
        <f t="shared" si="5"/>
        <v>Manzanillo, Colima / fajuste 0.896</v>
      </c>
      <c r="F66" s="2813"/>
      <c r="G66" s="1006"/>
      <c r="H66" s="1006"/>
      <c r="I66" s="1006"/>
      <c r="J66" s="1006"/>
      <c r="K66" s="1006"/>
      <c r="L66" s="1006"/>
      <c r="M66" s="1006"/>
      <c r="N66" s="1006"/>
      <c r="O66" s="1006"/>
      <c r="P66" s="1006"/>
      <c r="Q66" s="1006"/>
      <c r="R66" s="1006"/>
      <c r="S66" s="1006"/>
      <c r="T66" s="1006"/>
      <c r="U66" s="1006"/>
      <c r="V66" s="1006"/>
      <c r="W66" s="1006"/>
      <c r="X66" s="1006"/>
      <c r="Y66" s="1006"/>
      <c r="Z66" s="1006"/>
    </row>
    <row r="67">
      <c r="A67" s="2813">
        <v>27.0</v>
      </c>
      <c r="B67" s="2813" t="s">
        <v>1803</v>
      </c>
      <c r="C67" s="2813" t="s">
        <v>1784</v>
      </c>
      <c r="D67" s="2813">
        <v>1.056</v>
      </c>
      <c r="E67" s="2813" t="str">
        <f t="shared" si="5"/>
        <v>Mazatlán, Sinaloa / fajuste 1.056</v>
      </c>
      <c r="F67" s="2813"/>
      <c r="G67" s="1006"/>
      <c r="H67" s="1006"/>
      <c r="I67" s="1006"/>
      <c r="J67" s="1006"/>
      <c r="K67" s="1006"/>
      <c r="L67" s="1006"/>
      <c r="M67" s="1006"/>
      <c r="N67" s="1006"/>
      <c r="O67" s="1006"/>
      <c r="P67" s="1006"/>
      <c r="Q67" s="1006"/>
      <c r="R67" s="1006"/>
      <c r="S67" s="1006"/>
      <c r="T67" s="1006"/>
      <c r="U67" s="1006"/>
      <c r="V67" s="1006"/>
      <c r="W67" s="1006"/>
      <c r="X67" s="1006"/>
      <c r="Y67" s="1006"/>
      <c r="Z67" s="1006"/>
    </row>
    <row r="68">
      <c r="A68" s="2813">
        <v>28.0</v>
      </c>
      <c r="B68" s="2813" t="s">
        <v>1804</v>
      </c>
      <c r="C68" s="2813" t="s">
        <v>1805</v>
      </c>
      <c r="D68" s="2813">
        <v>1.009</v>
      </c>
      <c r="E68" s="2813" t="str">
        <f t="shared" si="5"/>
        <v>Mérida, Yucatán / fajuste 1.009</v>
      </c>
      <c r="F68" s="2813"/>
      <c r="G68" s="1006"/>
      <c r="H68" s="1006"/>
      <c r="I68" s="1006"/>
      <c r="J68" s="1006"/>
      <c r="K68" s="1006"/>
      <c r="L68" s="1006"/>
      <c r="M68" s="1006"/>
      <c r="N68" s="1006"/>
      <c r="O68" s="1006"/>
      <c r="P68" s="1006"/>
      <c r="Q68" s="1006"/>
      <c r="R68" s="1006"/>
      <c r="S68" s="1006"/>
      <c r="T68" s="1006"/>
      <c r="U68" s="1006"/>
      <c r="V68" s="1006"/>
      <c r="W68" s="1006"/>
      <c r="X68" s="1006"/>
      <c r="Y68" s="1006"/>
      <c r="Z68" s="1006"/>
    </row>
    <row r="69">
      <c r="A69" s="2813">
        <v>29.0</v>
      </c>
      <c r="B69" s="2813" t="s">
        <v>1806</v>
      </c>
      <c r="C69" s="2813" t="s">
        <v>1787</v>
      </c>
      <c r="D69" s="2813">
        <v>1.135</v>
      </c>
      <c r="E69" s="2813" t="str">
        <f t="shared" si="5"/>
        <v>Mexicali, Baja California / fajuste 1.135</v>
      </c>
      <c r="F69" s="2813"/>
      <c r="G69" s="1006"/>
      <c r="H69" s="1006"/>
      <c r="I69" s="1006"/>
      <c r="J69" s="1006"/>
      <c r="K69" s="1006"/>
      <c r="L69" s="1006"/>
      <c r="M69" s="1006"/>
      <c r="N69" s="1006"/>
      <c r="O69" s="1006"/>
      <c r="P69" s="1006"/>
      <c r="Q69" s="1006"/>
      <c r="R69" s="1006"/>
      <c r="S69" s="1006"/>
      <c r="T69" s="1006"/>
      <c r="U69" s="1006"/>
      <c r="V69" s="1006"/>
      <c r="W69" s="1006"/>
      <c r="X69" s="1006"/>
      <c r="Y69" s="1006"/>
      <c r="Z69" s="1006"/>
    </row>
    <row r="70">
      <c r="A70" s="2813">
        <v>30.0</v>
      </c>
      <c r="B70" s="2825" t="s">
        <v>1779</v>
      </c>
      <c r="C70" s="2825" t="s">
        <v>1807</v>
      </c>
      <c r="D70" s="2825">
        <v>1.0</v>
      </c>
      <c r="E70" s="2825" t="str">
        <f t="shared" si="5"/>
        <v>México, Distrito Federal / fajuste 1</v>
      </c>
      <c r="F70" s="2813"/>
      <c r="G70" s="1006"/>
      <c r="H70" s="1006"/>
      <c r="I70" s="1006"/>
      <c r="J70" s="1006"/>
      <c r="K70" s="1006"/>
      <c r="L70" s="1006"/>
      <c r="M70" s="1006"/>
      <c r="N70" s="1006"/>
      <c r="O70" s="1006"/>
      <c r="P70" s="1006"/>
      <c r="Q70" s="1006"/>
      <c r="R70" s="1006"/>
      <c r="S70" s="1006"/>
      <c r="T70" s="1006"/>
      <c r="U70" s="1006"/>
      <c r="V70" s="1006"/>
      <c r="W70" s="1006"/>
      <c r="X70" s="1006"/>
      <c r="Y70" s="1006"/>
      <c r="Z70" s="1006"/>
    </row>
    <row r="71">
      <c r="A71" s="2813">
        <v>31.0</v>
      </c>
      <c r="B71" s="2813" t="s">
        <v>1808</v>
      </c>
      <c r="C71" s="2813" t="s">
        <v>1769</v>
      </c>
      <c r="D71" s="2813">
        <v>1.054</v>
      </c>
      <c r="E71" s="2813" t="str">
        <f t="shared" si="5"/>
        <v>Monterrey, Nuevo León / fajuste 1.054</v>
      </c>
      <c r="F71" s="2813"/>
      <c r="G71" s="1006"/>
      <c r="H71" s="1006"/>
      <c r="I71" s="1006"/>
      <c r="J71" s="1006"/>
      <c r="K71" s="1006"/>
      <c r="L71" s="1006"/>
      <c r="M71" s="1006"/>
      <c r="N71" s="1006"/>
      <c r="O71" s="1006"/>
      <c r="P71" s="1006"/>
      <c r="Q71" s="1006"/>
      <c r="R71" s="1006"/>
      <c r="S71" s="1006"/>
      <c r="T71" s="1006"/>
      <c r="U71" s="1006"/>
      <c r="V71" s="1006"/>
      <c r="W71" s="1006"/>
      <c r="X71" s="1006"/>
      <c r="Y71" s="1006"/>
      <c r="Z71" s="1006"/>
    </row>
    <row r="72">
      <c r="A72" s="2813">
        <v>32.0</v>
      </c>
      <c r="B72" s="2813" t="s">
        <v>1809</v>
      </c>
      <c r="C72" s="2813" t="s">
        <v>1798</v>
      </c>
      <c r="D72" s="2813">
        <v>0.913</v>
      </c>
      <c r="E72" s="2813" t="str">
        <f t="shared" si="5"/>
        <v>Morelia, Michoacán / fajuste 0.913</v>
      </c>
      <c r="F72" s="2813"/>
      <c r="G72" s="1006"/>
      <c r="H72" s="1006"/>
      <c r="I72" s="1006"/>
      <c r="J72" s="1006"/>
      <c r="K72" s="1006"/>
      <c r="L72" s="1006"/>
      <c r="M72" s="1006"/>
      <c r="N72" s="1006"/>
      <c r="O72" s="1006"/>
      <c r="P72" s="1006"/>
      <c r="Q72" s="1006"/>
      <c r="R72" s="1006"/>
      <c r="S72" s="1006"/>
      <c r="T72" s="1006"/>
      <c r="U72" s="1006"/>
      <c r="V72" s="1006"/>
      <c r="W72" s="1006"/>
      <c r="X72" s="1006"/>
      <c r="Y72" s="1006"/>
      <c r="Z72" s="1006"/>
    </row>
    <row r="73">
      <c r="A73" s="2813">
        <v>33.0</v>
      </c>
      <c r="B73" s="2813" t="s">
        <v>1792</v>
      </c>
      <c r="C73" s="2813" t="s">
        <v>1792</v>
      </c>
      <c r="D73" s="2813">
        <v>0.92</v>
      </c>
      <c r="E73" s="2813" t="str">
        <f t="shared" si="5"/>
        <v>Oaxaca, Oaxaca / fajuste 0.92</v>
      </c>
      <c r="F73" s="2813"/>
      <c r="G73" s="1006"/>
      <c r="H73" s="1006"/>
      <c r="I73" s="1006"/>
      <c r="J73" s="1006"/>
      <c r="K73" s="1006"/>
      <c r="L73" s="1006"/>
      <c r="M73" s="1006"/>
      <c r="N73" s="1006"/>
      <c r="O73" s="1006"/>
      <c r="P73" s="1006"/>
      <c r="Q73" s="1006"/>
      <c r="R73" s="1006"/>
      <c r="S73" s="1006"/>
      <c r="T73" s="1006"/>
      <c r="U73" s="1006"/>
      <c r="V73" s="1006"/>
      <c r="W73" s="1006"/>
      <c r="X73" s="1006"/>
      <c r="Y73" s="1006"/>
      <c r="Z73" s="1006"/>
    </row>
    <row r="74">
      <c r="A74" s="2813">
        <v>34.0</v>
      </c>
      <c r="B74" s="2813" t="s">
        <v>1810</v>
      </c>
      <c r="C74" s="2813" t="s">
        <v>1811</v>
      </c>
      <c r="D74" s="2813">
        <v>0.912</v>
      </c>
      <c r="E74" s="2813" t="str">
        <f t="shared" si="5"/>
        <v>Pachuca, Hidalgo / fajuste 0.912</v>
      </c>
      <c r="F74" s="2813"/>
      <c r="G74" s="1006"/>
      <c r="H74" s="1006"/>
      <c r="I74" s="1006"/>
      <c r="J74" s="1006"/>
      <c r="K74" s="1006"/>
      <c r="L74" s="1006"/>
      <c r="M74" s="1006"/>
      <c r="N74" s="1006"/>
      <c r="O74" s="1006"/>
      <c r="P74" s="1006"/>
      <c r="Q74" s="1006"/>
      <c r="R74" s="1006"/>
      <c r="S74" s="1006"/>
      <c r="T74" s="1006"/>
      <c r="U74" s="1006"/>
      <c r="V74" s="1006"/>
      <c r="W74" s="1006"/>
      <c r="X74" s="1006"/>
      <c r="Y74" s="1006"/>
      <c r="Z74" s="1006"/>
    </row>
    <row r="75">
      <c r="A75" s="2813">
        <v>35.0</v>
      </c>
      <c r="B75" s="2813" t="s">
        <v>1812</v>
      </c>
      <c r="C75" s="2813" t="s">
        <v>1798</v>
      </c>
      <c r="D75" s="2813">
        <v>0.872</v>
      </c>
      <c r="E75" s="2813" t="str">
        <f t="shared" si="5"/>
        <v>Patzcuaro, Michoacán / fajuste 0.872</v>
      </c>
      <c r="F75" s="2813"/>
      <c r="G75" s="1006"/>
      <c r="H75" s="1006"/>
      <c r="I75" s="1006"/>
      <c r="J75" s="1006"/>
      <c r="K75" s="1006"/>
      <c r="L75" s="1006"/>
      <c r="M75" s="1006"/>
      <c r="N75" s="1006"/>
      <c r="O75" s="1006"/>
      <c r="P75" s="1006"/>
      <c r="Q75" s="1006"/>
      <c r="R75" s="1006"/>
      <c r="S75" s="1006"/>
      <c r="T75" s="1006"/>
      <c r="U75" s="1006"/>
      <c r="V75" s="1006"/>
      <c r="W75" s="1006"/>
      <c r="X75" s="1006"/>
      <c r="Y75" s="1006"/>
      <c r="Z75" s="1006"/>
    </row>
    <row r="76">
      <c r="A76" s="2813">
        <v>36.0</v>
      </c>
      <c r="B76" s="2813" t="s">
        <v>1813</v>
      </c>
      <c r="C76" s="2813" t="s">
        <v>1813</v>
      </c>
      <c r="D76" s="2813">
        <v>0.982</v>
      </c>
      <c r="E76" s="2813" t="str">
        <f t="shared" si="5"/>
        <v>Puebla, Puebla / fajuste 0.982</v>
      </c>
      <c r="F76" s="2813"/>
      <c r="G76" s="1006"/>
      <c r="H76" s="1006"/>
      <c r="I76" s="1006"/>
      <c r="J76" s="1006"/>
      <c r="K76" s="1006"/>
      <c r="L76" s="1006"/>
      <c r="M76" s="1006"/>
      <c r="N76" s="1006"/>
      <c r="O76" s="1006"/>
      <c r="P76" s="1006"/>
      <c r="Q76" s="1006"/>
      <c r="R76" s="1006"/>
      <c r="S76" s="1006"/>
      <c r="T76" s="1006"/>
      <c r="U76" s="1006"/>
      <c r="V76" s="1006"/>
      <c r="W76" s="1006"/>
      <c r="X76" s="1006"/>
      <c r="Y76" s="1006"/>
      <c r="Z76" s="1006"/>
    </row>
    <row r="77">
      <c r="A77" s="2813">
        <v>37.0</v>
      </c>
      <c r="B77" s="2813" t="s">
        <v>1814</v>
      </c>
      <c r="C77" s="2813" t="s">
        <v>1788</v>
      </c>
      <c r="D77" s="2813">
        <v>1.035</v>
      </c>
      <c r="E77" s="2813" t="str">
        <f t="shared" si="5"/>
        <v>Puerto Vallarta, Jalisco / fajuste 1.035</v>
      </c>
      <c r="F77" s="2813"/>
      <c r="G77" s="1006"/>
      <c r="H77" s="1006"/>
      <c r="I77" s="1006"/>
      <c r="J77" s="1006"/>
      <c r="K77" s="1006"/>
      <c r="L77" s="1006"/>
      <c r="M77" s="1006"/>
      <c r="N77" s="1006"/>
      <c r="O77" s="1006"/>
      <c r="P77" s="1006"/>
      <c r="Q77" s="1006"/>
      <c r="R77" s="1006"/>
      <c r="S77" s="1006"/>
      <c r="T77" s="1006"/>
      <c r="U77" s="1006"/>
      <c r="V77" s="1006"/>
      <c r="W77" s="1006"/>
      <c r="X77" s="1006"/>
      <c r="Y77" s="1006"/>
      <c r="Z77" s="1006"/>
    </row>
    <row r="78">
      <c r="A78" s="2813">
        <v>38.0</v>
      </c>
      <c r="B78" s="2813" t="s">
        <v>1815</v>
      </c>
      <c r="C78" s="2813" t="s">
        <v>1815</v>
      </c>
      <c r="D78" s="2813">
        <v>0.962</v>
      </c>
      <c r="E78" s="2813" t="str">
        <f t="shared" si="5"/>
        <v>Querétaro, Querétaro / fajuste 0.962</v>
      </c>
      <c r="F78" s="2813"/>
      <c r="G78" s="1006"/>
      <c r="H78" s="1006"/>
      <c r="I78" s="1006"/>
      <c r="J78" s="1006"/>
      <c r="K78" s="1006"/>
      <c r="L78" s="1006"/>
      <c r="M78" s="1006"/>
      <c r="N78" s="1006"/>
      <c r="O78" s="1006"/>
      <c r="P78" s="1006"/>
      <c r="Q78" s="1006"/>
      <c r="R78" s="1006"/>
      <c r="S78" s="1006"/>
      <c r="T78" s="1006"/>
      <c r="U78" s="1006"/>
      <c r="V78" s="1006"/>
      <c r="W78" s="1006"/>
      <c r="X78" s="1006"/>
      <c r="Y78" s="1006"/>
      <c r="Z78" s="1006"/>
    </row>
    <row r="79">
      <c r="A79" s="2813">
        <v>39.0</v>
      </c>
      <c r="B79" s="2813" t="s">
        <v>1816</v>
      </c>
      <c r="C79" s="2813" t="s">
        <v>1817</v>
      </c>
      <c r="D79" s="2813">
        <v>0.916</v>
      </c>
      <c r="E79" s="2813" t="str">
        <f t="shared" si="5"/>
        <v>Saltillo, Coahuila / fajuste 0.916</v>
      </c>
      <c r="F79" s="2813"/>
      <c r="G79" s="1006"/>
      <c r="H79" s="1006"/>
      <c r="I79" s="1006"/>
      <c r="J79" s="1006"/>
      <c r="K79" s="1006"/>
      <c r="L79" s="1006"/>
      <c r="M79" s="1006"/>
      <c r="N79" s="1006"/>
      <c r="O79" s="1006"/>
      <c r="P79" s="1006"/>
      <c r="Q79" s="1006"/>
      <c r="R79" s="1006"/>
      <c r="S79" s="1006"/>
      <c r="T79" s="1006"/>
      <c r="U79" s="1006"/>
      <c r="V79" s="1006"/>
      <c r="W79" s="1006"/>
      <c r="X79" s="1006"/>
      <c r="Y79" s="1006"/>
      <c r="Z79" s="1006"/>
    </row>
    <row r="80">
      <c r="A80" s="2813">
        <v>40.0</v>
      </c>
      <c r="B80" s="2813" t="s">
        <v>1818</v>
      </c>
      <c r="C80" s="2813" t="s">
        <v>1796</v>
      </c>
      <c r="D80" s="2813">
        <v>1.354</v>
      </c>
      <c r="E80" s="2813" t="str">
        <f t="shared" si="5"/>
        <v>San José del Cabo, Baja California Sur / fajuste 1.354</v>
      </c>
      <c r="F80" s="2813"/>
      <c r="G80" s="1006"/>
      <c r="H80" s="1006"/>
      <c r="I80" s="1006"/>
      <c r="J80" s="1006"/>
      <c r="K80" s="1006"/>
      <c r="L80" s="1006"/>
      <c r="M80" s="1006"/>
      <c r="N80" s="1006"/>
      <c r="O80" s="1006"/>
      <c r="P80" s="1006"/>
      <c r="Q80" s="1006"/>
      <c r="R80" s="1006"/>
      <c r="S80" s="1006"/>
      <c r="T80" s="1006"/>
      <c r="U80" s="1006"/>
      <c r="V80" s="1006"/>
      <c r="W80" s="1006"/>
      <c r="X80" s="1006"/>
      <c r="Y80" s="1006"/>
      <c r="Z80" s="1006"/>
    </row>
    <row r="81">
      <c r="A81" s="2813">
        <v>41.0</v>
      </c>
      <c r="B81" s="2813" t="s">
        <v>1819</v>
      </c>
      <c r="C81" s="2813" t="s">
        <v>1819</v>
      </c>
      <c r="D81" s="2813">
        <v>0.938</v>
      </c>
      <c r="E81" s="2813" t="str">
        <f t="shared" si="5"/>
        <v>San Luis Potosí, San Luis Potosí / fajuste 0.938</v>
      </c>
      <c r="F81" s="2813"/>
      <c r="G81" s="1006"/>
      <c r="H81" s="1006"/>
      <c r="I81" s="1006"/>
      <c r="J81" s="1006"/>
      <c r="K81" s="1006"/>
      <c r="L81" s="1006"/>
      <c r="M81" s="1006"/>
      <c r="N81" s="1006"/>
      <c r="O81" s="1006"/>
      <c r="P81" s="1006"/>
      <c r="Q81" s="1006"/>
      <c r="R81" s="1006"/>
      <c r="S81" s="1006"/>
      <c r="T81" s="1006"/>
      <c r="U81" s="1006"/>
      <c r="V81" s="1006"/>
      <c r="W81" s="1006"/>
      <c r="X81" s="1006"/>
      <c r="Y81" s="1006"/>
      <c r="Z81" s="1006"/>
    </row>
    <row r="82">
      <c r="A82" s="2813">
        <v>42.0</v>
      </c>
      <c r="B82" s="2813" t="s">
        <v>1820</v>
      </c>
      <c r="C82" s="2813" t="s">
        <v>1767</v>
      </c>
      <c r="D82" s="2813">
        <v>1.107</v>
      </c>
      <c r="E82" s="2813" t="str">
        <f t="shared" si="5"/>
        <v>Tampico, Tamaulipas / fajuste 1.107</v>
      </c>
      <c r="F82" s="2813"/>
      <c r="G82" s="1006"/>
      <c r="H82" s="1006"/>
      <c r="I82" s="1006"/>
      <c r="J82" s="1006"/>
      <c r="K82" s="1006"/>
      <c r="L82" s="1006"/>
      <c r="M82" s="1006"/>
      <c r="N82" s="1006"/>
      <c r="O82" s="1006"/>
      <c r="P82" s="1006"/>
      <c r="Q82" s="1006"/>
      <c r="R82" s="1006"/>
      <c r="S82" s="1006"/>
      <c r="T82" s="1006"/>
      <c r="U82" s="1006"/>
      <c r="V82" s="1006"/>
      <c r="W82" s="1006"/>
      <c r="X82" s="1006"/>
      <c r="Y82" s="1006"/>
      <c r="Z82" s="1006"/>
    </row>
    <row r="83">
      <c r="A83" s="2813">
        <v>43.0</v>
      </c>
      <c r="B83" s="2813" t="s">
        <v>1821</v>
      </c>
      <c r="C83" s="2813" t="s">
        <v>1822</v>
      </c>
      <c r="D83" s="2813">
        <v>0.938</v>
      </c>
      <c r="E83" s="2813" t="str">
        <f t="shared" si="5"/>
        <v>Tapachula, Chiapas / fajuste 0.938</v>
      </c>
      <c r="F83" s="2813"/>
      <c r="G83" s="1006"/>
      <c r="H83" s="1006"/>
      <c r="I83" s="1006"/>
      <c r="J83" s="1006"/>
      <c r="K83" s="1006"/>
      <c r="L83" s="1006"/>
      <c r="M83" s="1006"/>
      <c r="N83" s="1006"/>
      <c r="O83" s="1006"/>
      <c r="P83" s="1006"/>
      <c r="Q83" s="1006"/>
      <c r="R83" s="1006"/>
      <c r="S83" s="1006"/>
      <c r="T83" s="1006"/>
      <c r="U83" s="1006"/>
      <c r="V83" s="1006"/>
      <c r="W83" s="1006"/>
      <c r="X83" s="1006"/>
      <c r="Y83" s="1006"/>
      <c r="Z83" s="1006"/>
    </row>
    <row r="84">
      <c r="A84" s="2813">
        <v>44.0</v>
      </c>
      <c r="B84" s="2813" t="s">
        <v>1823</v>
      </c>
      <c r="C84" s="2813" t="s">
        <v>1824</v>
      </c>
      <c r="D84" s="2813">
        <v>0.861</v>
      </c>
      <c r="E84" s="2813" t="str">
        <f t="shared" si="5"/>
        <v>Tepic, Nayarit / fajuste 0.861</v>
      </c>
      <c r="F84" s="2813"/>
      <c r="G84" s="1006"/>
      <c r="H84" s="1006"/>
      <c r="I84" s="1006"/>
      <c r="J84" s="1006"/>
      <c r="K84" s="1006"/>
      <c r="L84" s="1006"/>
      <c r="M84" s="1006"/>
      <c r="N84" s="1006"/>
      <c r="O84" s="1006"/>
      <c r="P84" s="1006"/>
      <c r="Q84" s="1006"/>
      <c r="R84" s="1006"/>
      <c r="S84" s="1006"/>
      <c r="T84" s="1006"/>
      <c r="U84" s="1006"/>
      <c r="V84" s="1006"/>
      <c r="W84" s="1006"/>
      <c r="X84" s="1006"/>
      <c r="Y84" s="1006"/>
      <c r="Z84" s="1006"/>
    </row>
    <row r="85">
      <c r="A85" s="2813">
        <v>45.0</v>
      </c>
      <c r="B85" s="2813" t="s">
        <v>1825</v>
      </c>
      <c r="C85" s="2813" t="s">
        <v>1825</v>
      </c>
      <c r="D85" s="2813">
        <v>0.897</v>
      </c>
      <c r="E85" s="2813" t="str">
        <f t="shared" si="5"/>
        <v>Tlaxaca, Tlaxaca / fajuste 0.897</v>
      </c>
      <c r="F85" s="2813"/>
      <c r="G85" s="1006"/>
      <c r="H85" s="1006"/>
      <c r="I85" s="1006"/>
      <c r="J85" s="1006"/>
      <c r="K85" s="1006"/>
      <c r="L85" s="1006"/>
      <c r="M85" s="1006"/>
      <c r="N85" s="1006"/>
      <c r="O85" s="1006"/>
      <c r="P85" s="1006"/>
      <c r="Q85" s="1006"/>
      <c r="R85" s="1006"/>
      <c r="S85" s="1006"/>
      <c r="T85" s="1006"/>
      <c r="U85" s="1006"/>
      <c r="V85" s="1006"/>
      <c r="W85" s="1006"/>
      <c r="X85" s="1006"/>
      <c r="Y85" s="1006"/>
      <c r="Z85" s="1006"/>
    </row>
    <row r="86">
      <c r="A86" s="2813">
        <v>46.0</v>
      </c>
      <c r="B86" s="2813" t="s">
        <v>1826</v>
      </c>
      <c r="C86" s="2813" t="s">
        <v>1779</v>
      </c>
      <c r="D86" s="2813">
        <v>0.96</v>
      </c>
      <c r="E86" s="2813" t="str">
        <f t="shared" si="5"/>
        <v>Toluca, México / fajuste 0.96</v>
      </c>
      <c r="F86" s="2813"/>
      <c r="G86" s="1006"/>
      <c r="H86" s="1006"/>
      <c r="I86" s="1006"/>
      <c r="J86" s="1006"/>
      <c r="K86" s="1006"/>
      <c r="L86" s="1006"/>
      <c r="M86" s="1006"/>
      <c r="N86" s="1006"/>
      <c r="O86" s="1006"/>
      <c r="P86" s="1006"/>
      <c r="Q86" s="1006"/>
      <c r="R86" s="1006"/>
      <c r="S86" s="1006"/>
      <c r="T86" s="1006"/>
      <c r="U86" s="1006"/>
      <c r="V86" s="1006"/>
      <c r="W86" s="1006"/>
      <c r="X86" s="1006"/>
      <c r="Y86" s="1006"/>
      <c r="Z86" s="1006"/>
    </row>
    <row r="87">
      <c r="A87" s="2813">
        <v>47.0</v>
      </c>
      <c r="B87" s="2813" t="s">
        <v>1827</v>
      </c>
      <c r="C87" s="2813" t="s">
        <v>1817</v>
      </c>
      <c r="D87" s="2813">
        <v>0.902</v>
      </c>
      <c r="E87" s="2813" t="str">
        <f t="shared" si="5"/>
        <v>Torreón, Coahuila / fajuste 0.902</v>
      </c>
      <c r="F87" s="2813"/>
      <c r="G87" s="1006"/>
      <c r="H87" s="1006"/>
      <c r="I87" s="1006"/>
      <c r="J87" s="1006"/>
      <c r="K87" s="1006"/>
      <c r="L87" s="1006"/>
      <c r="M87" s="1006"/>
      <c r="N87" s="1006"/>
      <c r="O87" s="1006"/>
      <c r="P87" s="1006"/>
      <c r="Q87" s="1006"/>
      <c r="R87" s="1006"/>
      <c r="S87" s="1006"/>
      <c r="T87" s="1006"/>
      <c r="U87" s="1006"/>
      <c r="V87" s="1006"/>
      <c r="W87" s="1006"/>
      <c r="X87" s="1006"/>
      <c r="Y87" s="1006"/>
      <c r="Z87" s="1006"/>
    </row>
    <row r="88">
      <c r="A88" s="2813">
        <v>48.0</v>
      </c>
      <c r="B88" s="2813" t="s">
        <v>1828</v>
      </c>
      <c r="C88" s="2813" t="s">
        <v>1811</v>
      </c>
      <c r="D88" s="2813">
        <v>0.905</v>
      </c>
      <c r="E88" s="2813" t="str">
        <f t="shared" si="5"/>
        <v>Tula, Hidalgo / fajuste 0.905</v>
      </c>
      <c r="F88" s="2813"/>
      <c r="G88" s="1006"/>
      <c r="H88" s="1006"/>
      <c r="I88" s="1006"/>
      <c r="J88" s="1006"/>
      <c r="K88" s="1006"/>
      <c r="L88" s="1006"/>
      <c r="M88" s="1006"/>
      <c r="N88" s="1006"/>
      <c r="O88" s="1006"/>
      <c r="P88" s="1006"/>
      <c r="Q88" s="1006"/>
      <c r="R88" s="1006"/>
      <c r="S88" s="1006"/>
      <c r="T88" s="1006"/>
      <c r="U88" s="1006"/>
      <c r="V88" s="1006"/>
      <c r="W88" s="1006"/>
      <c r="X88" s="1006"/>
      <c r="Y88" s="1006"/>
      <c r="Z88" s="1006"/>
    </row>
    <row r="89">
      <c r="A89" s="2813">
        <v>49.0</v>
      </c>
      <c r="B89" s="2813" t="s">
        <v>1829</v>
      </c>
      <c r="C89" s="2813" t="s">
        <v>1822</v>
      </c>
      <c r="D89" s="2813">
        <v>0.926</v>
      </c>
      <c r="E89" s="2813" t="str">
        <f t="shared" si="5"/>
        <v>Tuxta Gutiérrez, Chiapas / fajuste 0.926</v>
      </c>
      <c r="F89" s="2813"/>
      <c r="G89" s="1006"/>
      <c r="H89" s="1006"/>
      <c r="I89" s="1006"/>
      <c r="J89" s="1006"/>
      <c r="K89" s="1006"/>
      <c r="L89" s="1006"/>
      <c r="M89" s="1006"/>
      <c r="N89" s="1006"/>
      <c r="O89" s="1006"/>
      <c r="P89" s="1006"/>
      <c r="Q89" s="1006"/>
      <c r="R89" s="1006"/>
      <c r="S89" s="1006"/>
      <c r="T89" s="1006"/>
      <c r="U89" s="1006"/>
      <c r="V89" s="1006"/>
      <c r="W89" s="1006"/>
      <c r="X89" s="1006"/>
      <c r="Y89" s="1006"/>
      <c r="Z89" s="1006"/>
    </row>
    <row r="90">
      <c r="A90" s="2813">
        <v>50.0</v>
      </c>
      <c r="B90" s="2813" t="s">
        <v>1794</v>
      </c>
      <c r="C90" s="2813" t="s">
        <v>1794</v>
      </c>
      <c r="D90" s="2813">
        <v>0.939</v>
      </c>
      <c r="E90" s="2813" t="str">
        <f t="shared" si="5"/>
        <v>Veracruz, Veracruz / fajuste 0.939</v>
      </c>
      <c r="F90" s="2813"/>
      <c r="G90" s="1006"/>
      <c r="H90" s="1006"/>
      <c r="I90" s="1006"/>
      <c r="J90" s="1006"/>
      <c r="K90" s="1006"/>
      <c r="L90" s="1006"/>
      <c r="M90" s="1006"/>
      <c r="N90" s="1006"/>
      <c r="O90" s="1006"/>
      <c r="P90" s="1006"/>
      <c r="Q90" s="1006"/>
      <c r="R90" s="1006"/>
      <c r="S90" s="1006"/>
      <c r="T90" s="1006"/>
      <c r="U90" s="1006"/>
      <c r="V90" s="1006"/>
      <c r="W90" s="1006"/>
      <c r="X90" s="1006"/>
      <c r="Y90" s="1006"/>
      <c r="Z90" s="1006"/>
    </row>
    <row r="91">
      <c r="A91" s="2813">
        <v>51.0</v>
      </c>
      <c r="B91" s="2813" t="s">
        <v>1830</v>
      </c>
      <c r="C91" s="2813" t="s">
        <v>1831</v>
      </c>
      <c r="D91" s="2813">
        <v>1.004</v>
      </c>
      <c r="E91" s="2813" t="str">
        <f t="shared" si="5"/>
        <v>Villahermosa, Tabasco / fajuste 1.004</v>
      </c>
      <c r="F91" s="2813"/>
      <c r="G91" s="1006"/>
      <c r="H91" s="1006"/>
      <c r="I91" s="1006"/>
      <c r="J91" s="1006"/>
      <c r="K91" s="1006"/>
      <c r="L91" s="1006"/>
      <c r="M91" s="1006"/>
      <c r="N91" s="1006"/>
      <c r="O91" s="1006"/>
      <c r="P91" s="1006"/>
      <c r="Q91" s="1006"/>
      <c r="R91" s="1006"/>
      <c r="S91" s="1006"/>
      <c r="T91" s="1006"/>
      <c r="U91" s="1006"/>
      <c r="V91" s="1006"/>
      <c r="W91" s="1006"/>
      <c r="X91" s="1006"/>
      <c r="Y91" s="1006"/>
      <c r="Z91" s="1006"/>
    </row>
    <row r="92">
      <c r="A92" s="2813">
        <v>52.0</v>
      </c>
      <c r="B92" s="2813" t="s">
        <v>1832</v>
      </c>
      <c r="C92" s="2813" t="s">
        <v>1832</v>
      </c>
      <c r="D92" s="2813">
        <v>0.954</v>
      </c>
      <c r="E92" s="2813" t="str">
        <f t="shared" si="5"/>
        <v>Zacatecas, Zacatecas / fajuste 0.954</v>
      </c>
      <c r="F92" s="2813"/>
      <c r="G92" s="1006"/>
      <c r="H92" s="1006"/>
      <c r="I92" s="1006"/>
      <c r="J92" s="1006"/>
      <c r="K92" s="1006"/>
      <c r="L92" s="1006"/>
      <c r="M92" s="1006"/>
      <c r="N92" s="1006"/>
      <c r="O92" s="1006"/>
      <c r="P92" s="1006"/>
      <c r="Q92" s="1006"/>
      <c r="R92" s="1006"/>
      <c r="S92" s="1006"/>
      <c r="T92" s="1006"/>
      <c r="U92" s="1006"/>
      <c r="V92" s="1006"/>
      <c r="W92" s="1006"/>
      <c r="X92" s="1006"/>
      <c r="Y92" s="1006"/>
      <c r="Z92" s="1006"/>
    </row>
    <row r="93">
      <c r="A93" s="2813">
        <v>53.0</v>
      </c>
      <c r="B93" s="2813" t="s">
        <v>1833</v>
      </c>
      <c r="C93" s="2813" t="s">
        <v>1834</v>
      </c>
      <c r="D93" s="2813">
        <v>1.0</v>
      </c>
      <c r="E93" s="2813" t="str">
        <f t="shared" si="5"/>
        <v>Otras ciudades, No incluidas / fajuste 1</v>
      </c>
      <c r="F93" s="2813"/>
      <c r="G93" s="1006"/>
      <c r="H93" s="1006"/>
      <c r="I93" s="1006"/>
      <c r="J93" s="1006"/>
      <c r="K93" s="1006"/>
      <c r="L93" s="1006"/>
      <c r="M93" s="1006"/>
      <c r="N93" s="1006"/>
      <c r="O93" s="1006"/>
      <c r="P93" s="1006"/>
      <c r="Q93" s="1006"/>
      <c r="R93" s="1006"/>
      <c r="S93" s="1006"/>
      <c r="T93" s="1006"/>
      <c r="U93" s="1006"/>
      <c r="V93" s="1006"/>
      <c r="W93" s="1006"/>
      <c r="X93" s="1006"/>
      <c r="Y93" s="1006"/>
      <c r="Z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row>
    <row r="98">
      <c r="A98" s="2826" t="s">
        <v>1835</v>
      </c>
      <c r="B98" s="2827"/>
      <c r="C98" s="2827"/>
      <c r="D98" s="2827"/>
      <c r="E98" s="2827"/>
      <c r="F98" s="2828"/>
      <c r="G98" s="1006"/>
      <c r="H98" s="1006"/>
      <c r="I98" s="1006"/>
      <c r="J98" s="1006"/>
      <c r="K98" s="1006"/>
      <c r="L98" s="1006"/>
      <c r="M98" s="1006"/>
      <c r="N98" s="1006"/>
      <c r="O98" s="1006"/>
      <c r="P98" s="1006"/>
      <c r="Q98" s="1006"/>
      <c r="R98" s="1006"/>
      <c r="S98" s="1006"/>
      <c r="T98" s="1006"/>
      <c r="U98" s="1006"/>
      <c r="V98" s="1006"/>
      <c r="W98" s="1006"/>
      <c r="X98" s="1006"/>
      <c r="Y98" s="1006"/>
      <c r="Z98" s="1006"/>
    </row>
    <row r="99">
      <c r="A99" s="2829" t="s">
        <v>1836</v>
      </c>
      <c r="B99" s="598"/>
      <c r="C99" s="598"/>
      <c r="D99" s="598"/>
      <c r="E99" s="598"/>
      <c r="F99" s="2830"/>
      <c r="G99" s="1006"/>
      <c r="H99" s="1006"/>
      <c r="I99" s="1006"/>
      <c r="J99" s="1006"/>
      <c r="K99" s="1006"/>
      <c r="L99" s="1006"/>
      <c r="M99" s="1006"/>
      <c r="N99" s="1006"/>
      <c r="O99" s="1006"/>
      <c r="P99" s="1006"/>
      <c r="Q99" s="1006"/>
      <c r="R99" s="1006"/>
      <c r="S99" s="1006"/>
      <c r="T99" s="1006"/>
      <c r="U99" s="1006"/>
      <c r="V99" s="1006"/>
      <c r="W99" s="1006"/>
      <c r="X99" s="1006"/>
      <c r="Y99" s="1006"/>
      <c r="Z99" s="1006"/>
    </row>
    <row r="100" ht="26.25" customHeight="1">
      <c r="A100" s="2831" t="s">
        <v>1837</v>
      </c>
      <c r="B100" s="482"/>
      <c r="C100" s="482"/>
      <c r="D100" s="483"/>
      <c r="E100" s="2831" t="s">
        <v>1838</v>
      </c>
      <c r="F100" s="483"/>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row>
    <row r="101" ht="32.25" customHeight="1">
      <c r="A101" s="2831" t="s">
        <v>1839</v>
      </c>
      <c r="B101" s="483"/>
      <c r="C101" s="2831" t="s">
        <v>1840</v>
      </c>
      <c r="D101" s="483"/>
      <c r="E101" s="2831" t="s">
        <v>1841</v>
      </c>
      <c r="F101" s="483"/>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row>
    <row r="102">
      <c r="A102" s="2832" t="s">
        <v>1842</v>
      </c>
      <c r="B102" s="482"/>
      <c r="C102" s="482"/>
      <c r="D102" s="482"/>
      <c r="E102" s="482"/>
      <c r="F102" s="483"/>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row>
    <row r="103">
      <c r="A103" s="2833" t="s">
        <v>964</v>
      </c>
      <c r="B103" s="2834" t="s">
        <v>965</v>
      </c>
      <c r="C103" s="2835" t="s">
        <v>964</v>
      </c>
      <c r="D103" s="2834" t="s">
        <v>965</v>
      </c>
      <c r="E103" s="2835" t="s">
        <v>964</v>
      </c>
      <c r="F103" s="2834" t="s">
        <v>965</v>
      </c>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row>
    <row r="104">
      <c r="A104" s="2833" t="s">
        <v>967</v>
      </c>
      <c r="B104" s="2834" t="s">
        <v>968</v>
      </c>
      <c r="C104" s="2835" t="s">
        <v>967</v>
      </c>
      <c r="D104" s="2834" t="s">
        <v>968</v>
      </c>
      <c r="E104" s="2835" t="s">
        <v>967</v>
      </c>
      <c r="F104" s="2834" t="s">
        <v>968</v>
      </c>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row>
    <row r="105">
      <c r="A105" s="2833" t="s">
        <v>969</v>
      </c>
      <c r="B105" s="2834" t="s">
        <v>970</v>
      </c>
      <c r="C105" s="2835" t="s">
        <v>969</v>
      </c>
      <c r="D105" s="2834" t="s">
        <v>970</v>
      </c>
      <c r="E105" s="2835" t="s">
        <v>969</v>
      </c>
      <c r="F105" s="2834" t="s">
        <v>970</v>
      </c>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row>
    <row r="106">
      <c r="A106" s="2836" t="s">
        <v>1843</v>
      </c>
      <c r="B106" s="2837" t="s">
        <v>974</v>
      </c>
      <c r="C106" s="2836" t="s">
        <v>1843</v>
      </c>
      <c r="D106" s="2837" t="s">
        <v>974</v>
      </c>
      <c r="E106" s="2835" t="s">
        <v>973</v>
      </c>
      <c r="F106" s="2834" t="s">
        <v>975</v>
      </c>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row>
    <row r="107">
      <c r="A107" s="2838"/>
      <c r="B107" s="2838"/>
      <c r="C107" s="2838"/>
      <c r="D107" s="2838"/>
      <c r="E107" s="2835" t="s">
        <v>977</v>
      </c>
      <c r="F107" s="2834" t="s">
        <v>978</v>
      </c>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row>
    <row r="108">
      <c r="A108" s="2836" t="s">
        <v>980</v>
      </c>
      <c r="B108" s="2837" t="s">
        <v>981</v>
      </c>
      <c r="C108" s="2835" t="s">
        <v>980</v>
      </c>
      <c r="D108" s="2834" t="s">
        <v>981</v>
      </c>
      <c r="E108" s="2835" t="s">
        <v>980</v>
      </c>
      <c r="F108" s="2834" t="s">
        <v>981</v>
      </c>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row>
    <row r="109">
      <c r="A109" s="2838"/>
      <c r="B109" s="2838"/>
      <c r="C109" s="2835" t="s">
        <v>983</v>
      </c>
      <c r="D109" s="2834" t="s">
        <v>984</v>
      </c>
      <c r="E109" s="2835" t="s">
        <v>983</v>
      </c>
      <c r="F109" s="2834" t="s">
        <v>984</v>
      </c>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row>
    <row r="110">
      <c r="A110" s="2833" t="s">
        <v>986</v>
      </c>
      <c r="B110" s="2834" t="s">
        <v>987</v>
      </c>
      <c r="C110" s="2835" t="s">
        <v>986</v>
      </c>
      <c r="D110" s="2834" t="s">
        <v>987</v>
      </c>
      <c r="E110" s="2835" t="s">
        <v>986</v>
      </c>
      <c r="F110" s="2834" t="s">
        <v>987</v>
      </c>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row>
    <row r="111">
      <c r="A111" s="2833" t="s">
        <v>1844</v>
      </c>
      <c r="B111" s="2834" t="s">
        <v>990</v>
      </c>
      <c r="C111" s="2835" t="s">
        <v>989</v>
      </c>
      <c r="D111" s="2834" t="s">
        <v>990</v>
      </c>
      <c r="E111" s="2835" t="s">
        <v>989</v>
      </c>
      <c r="F111" s="2834" t="s">
        <v>990</v>
      </c>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row>
    <row r="112">
      <c r="A112" s="2839" t="s">
        <v>1845</v>
      </c>
      <c r="B112" s="2832" t="s">
        <v>1846</v>
      </c>
      <c r="C112" s="482"/>
      <c r="D112" s="482"/>
      <c r="E112" s="482"/>
      <c r="F112" s="483"/>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row>
    <row r="113">
      <c r="A113" s="2836" t="s">
        <v>170</v>
      </c>
      <c r="B113" s="2837" t="s">
        <v>1847</v>
      </c>
      <c r="C113" s="2836" t="s">
        <v>1848</v>
      </c>
      <c r="D113" s="2837" t="s">
        <v>994</v>
      </c>
      <c r="E113" s="2835" t="s">
        <v>993</v>
      </c>
      <c r="F113" s="2834" t="s">
        <v>995</v>
      </c>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row>
    <row r="114">
      <c r="A114" s="2840"/>
      <c r="B114" s="2840"/>
      <c r="C114" s="2840"/>
      <c r="D114" s="2840"/>
      <c r="E114" s="2835" t="s">
        <v>999</v>
      </c>
      <c r="F114" s="2834" t="s">
        <v>1000</v>
      </c>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row>
    <row r="115">
      <c r="A115" s="2840"/>
      <c r="B115" s="2840"/>
      <c r="C115" s="2840"/>
      <c r="D115" s="2840"/>
      <c r="E115" s="2835" t="s">
        <v>1003</v>
      </c>
      <c r="F115" s="2834" t="s">
        <v>1004</v>
      </c>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row>
    <row r="116">
      <c r="A116" s="2838"/>
      <c r="B116" s="2838"/>
      <c r="C116" s="2838"/>
      <c r="D116" s="2838"/>
      <c r="E116" s="2835" t="s">
        <v>1007</v>
      </c>
      <c r="F116" s="2834" t="s">
        <v>1008</v>
      </c>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row>
    <row r="117">
      <c r="A117" s="2841"/>
      <c r="B117" s="2841"/>
      <c r="C117" s="2835" t="s">
        <v>1012</v>
      </c>
      <c r="D117" s="2834" t="s">
        <v>1013</v>
      </c>
      <c r="E117" s="2835" t="s">
        <v>1012</v>
      </c>
      <c r="F117" s="2834" t="s">
        <v>1014</v>
      </c>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row>
    <row r="118">
      <c r="A118" s="2840"/>
      <c r="B118" s="2840"/>
      <c r="C118" s="2836" t="s">
        <v>1849</v>
      </c>
      <c r="D118" s="2837" t="s">
        <v>1020</v>
      </c>
      <c r="E118" s="2835" t="s">
        <v>127</v>
      </c>
      <c r="F118" s="2834" t="s">
        <v>1021</v>
      </c>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row>
    <row r="119">
      <c r="A119" s="2840"/>
      <c r="B119" s="2840"/>
      <c r="C119" s="2840"/>
      <c r="D119" s="2840"/>
      <c r="E119" s="2835" t="s">
        <v>1025</v>
      </c>
      <c r="F119" s="2834" t="s">
        <v>1026</v>
      </c>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row>
    <row r="120">
      <c r="A120" s="2840"/>
      <c r="B120" s="2840"/>
      <c r="C120" s="2838"/>
      <c r="D120" s="2838"/>
      <c r="E120" s="2835" t="s">
        <v>1031</v>
      </c>
      <c r="F120" s="2834" t="s">
        <v>1032</v>
      </c>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row>
    <row r="121">
      <c r="A121" s="2840"/>
      <c r="B121" s="2840"/>
      <c r="C121" s="2836" t="s">
        <v>1850</v>
      </c>
      <c r="D121" s="2837" t="s">
        <v>1038</v>
      </c>
      <c r="E121" s="2835" t="s">
        <v>1037</v>
      </c>
      <c r="F121" s="2834" t="s">
        <v>1021</v>
      </c>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row>
    <row r="122">
      <c r="A122" s="2840"/>
      <c r="B122" s="2840"/>
      <c r="C122" s="2840"/>
      <c r="D122" s="2840"/>
      <c r="E122" s="2835" t="s">
        <v>1043</v>
      </c>
      <c r="F122" s="2834" t="s">
        <v>1026</v>
      </c>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row>
    <row r="123">
      <c r="A123" s="2840"/>
      <c r="B123" s="2840"/>
      <c r="C123" s="2838"/>
      <c r="D123" s="2838"/>
      <c r="E123" s="2835" t="s">
        <v>1049</v>
      </c>
      <c r="F123" s="2834" t="s">
        <v>1032</v>
      </c>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row>
    <row r="124">
      <c r="A124" s="2840"/>
      <c r="B124" s="2840"/>
      <c r="C124" s="2836" t="s">
        <v>1851</v>
      </c>
      <c r="D124" s="2837" t="s">
        <v>1055</v>
      </c>
      <c r="E124" s="2835" t="s">
        <v>1054</v>
      </c>
      <c r="F124" s="2834" t="s">
        <v>1021</v>
      </c>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row>
    <row r="125">
      <c r="A125" s="2840"/>
      <c r="B125" s="2840"/>
      <c r="C125" s="2840"/>
      <c r="D125" s="2840"/>
      <c r="E125" s="2835" t="s">
        <v>1059</v>
      </c>
      <c r="F125" s="2834" t="s">
        <v>1026</v>
      </c>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row>
    <row r="126">
      <c r="A126" s="2840"/>
      <c r="B126" s="2840"/>
      <c r="C126" s="2838"/>
      <c r="D126" s="2838"/>
      <c r="E126" s="2835" t="s">
        <v>1066</v>
      </c>
      <c r="F126" s="2834" t="s">
        <v>1032</v>
      </c>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row>
    <row r="127">
      <c r="A127" s="2840"/>
      <c r="B127" s="2840"/>
      <c r="C127" s="2836" t="s">
        <v>786</v>
      </c>
      <c r="D127" s="2837" t="s">
        <v>1071</v>
      </c>
      <c r="E127" s="2835" t="s">
        <v>1852</v>
      </c>
      <c r="F127" s="2834" t="s">
        <v>1021</v>
      </c>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row>
    <row r="128">
      <c r="A128" s="2840"/>
      <c r="B128" s="2840"/>
      <c r="C128" s="2840"/>
      <c r="D128" s="2840"/>
      <c r="E128" s="2835" t="s">
        <v>1077</v>
      </c>
      <c r="F128" s="2834" t="s">
        <v>1026</v>
      </c>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row>
    <row r="129">
      <c r="A129" s="2840"/>
      <c r="B129" s="2840"/>
      <c r="C129" s="2838"/>
      <c r="D129" s="2838"/>
      <c r="E129" s="2835" t="s">
        <v>1083</v>
      </c>
      <c r="F129" s="2834" t="s">
        <v>1032</v>
      </c>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row>
    <row r="130">
      <c r="A130" s="2840"/>
      <c r="B130" s="2840"/>
      <c r="C130" s="2835" t="s">
        <v>1853</v>
      </c>
      <c r="D130" s="2834" t="s">
        <v>1089</v>
      </c>
      <c r="E130" s="2836"/>
      <c r="F130" s="2837"/>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row>
    <row r="131">
      <c r="A131" s="2840"/>
      <c r="B131" s="2840"/>
      <c r="C131" s="2835" t="s">
        <v>1854</v>
      </c>
      <c r="D131" s="2834" t="s">
        <v>1114</v>
      </c>
      <c r="E131" s="2840"/>
      <c r="F131" s="2840"/>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row>
    <row r="132">
      <c r="A132" s="2840"/>
      <c r="B132" s="2840"/>
      <c r="C132" s="2835" t="s">
        <v>1855</v>
      </c>
      <c r="D132" s="2834" t="s">
        <v>1143</v>
      </c>
      <c r="E132" s="2840"/>
      <c r="F132" s="2840"/>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row>
    <row r="133">
      <c r="A133" s="2838"/>
      <c r="B133" s="2838"/>
      <c r="C133" s="2835" t="s">
        <v>1168</v>
      </c>
      <c r="D133" s="2834" t="s">
        <v>1169</v>
      </c>
      <c r="E133" s="2838"/>
      <c r="F133" s="2838"/>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row>
    <row r="134">
      <c r="A134" s="2836" t="s">
        <v>1291</v>
      </c>
      <c r="B134" s="2837" t="s">
        <v>1856</v>
      </c>
      <c r="C134" s="2835" t="s">
        <v>1857</v>
      </c>
      <c r="D134" s="2834" t="s">
        <v>1179</v>
      </c>
      <c r="E134" s="2835" t="s">
        <v>1858</v>
      </c>
      <c r="F134" s="2834" t="s">
        <v>1179</v>
      </c>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row>
    <row r="135">
      <c r="A135" s="2840"/>
      <c r="B135" s="2840"/>
      <c r="C135" s="2835" t="s">
        <v>1859</v>
      </c>
      <c r="D135" s="2834" t="s">
        <v>1211</v>
      </c>
      <c r="E135" s="2835" t="s">
        <v>1860</v>
      </c>
      <c r="F135" s="2834" t="s">
        <v>1211</v>
      </c>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row>
    <row r="136">
      <c r="A136" s="2840"/>
      <c r="B136" s="2840"/>
      <c r="C136" s="2835" t="s">
        <v>1861</v>
      </c>
      <c r="D136" s="2834" t="s">
        <v>1234</v>
      </c>
      <c r="E136" s="2835" t="s">
        <v>1862</v>
      </c>
      <c r="F136" s="2834" t="s">
        <v>1234</v>
      </c>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row>
    <row r="137">
      <c r="A137" s="2840"/>
      <c r="B137" s="2840"/>
      <c r="C137" s="2835" t="s">
        <v>1863</v>
      </c>
      <c r="D137" s="2834" t="s">
        <v>1262</v>
      </c>
      <c r="E137" s="2835" t="s">
        <v>1864</v>
      </c>
      <c r="F137" s="2834" t="s">
        <v>1262</v>
      </c>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row>
    <row r="138">
      <c r="A138" s="2838"/>
      <c r="B138" s="2838"/>
      <c r="C138" s="2835" t="s">
        <v>1865</v>
      </c>
      <c r="D138" s="2834" t="s">
        <v>1292</v>
      </c>
      <c r="E138" s="2835" t="s">
        <v>1291</v>
      </c>
      <c r="F138" s="2834" t="s">
        <v>1292</v>
      </c>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row>
    <row r="139">
      <c r="A139" s="2836" t="s">
        <v>1376</v>
      </c>
      <c r="B139" s="2837" t="s">
        <v>1377</v>
      </c>
      <c r="C139" s="2835" t="s">
        <v>1866</v>
      </c>
      <c r="D139" s="2834" t="s">
        <v>1298</v>
      </c>
      <c r="E139" s="2835" t="s">
        <v>1867</v>
      </c>
      <c r="F139" s="2834" t="s">
        <v>1298</v>
      </c>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row>
    <row r="140">
      <c r="A140" s="2840"/>
      <c r="B140" s="2840"/>
      <c r="C140" s="2835" t="s">
        <v>1868</v>
      </c>
      <c r="D140" s="2834" t="s">
        <v>1316</v>
      </c>
      <c r="E140" s="2835" t="s">
        <v>1869</v>
      </c>
      <c r="F140" s="2834" t="s">
        <v>1316</v>
      </c>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row>
    <row r="141">
      <c r="A141" s="2840"/>
      <c r="B141" s="2840"/>
      <c r="C141" s="2835" t="s">
        <v>1870</v>
      </c>
      <c r="D141" s="2834" t="s">
        <v>1336</v>
      </c>
      <c r="E141" s="2835" t="s">
        <v>1871</v>
      </c>
      <c r="F141" s="2834" t="s">
        <v>1336</v>
      </c>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row>
    <row r="142">
      <c r="A142" s="2840"/>
      <c r="B142" s="2840"/>
      <c r="C142" s="2835" t="s">
        <v>1872</v>
      </c>
      <c r="D142" s="2834" t="s">
        <v>1361</v>
      </c>
      <c r="E142" s="2835" t="s">
        <v>1873</v>
      </c>
      <c r="F142" s="2834" t="s">
        <v>1361</v>
      </c>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row>
    <row r="143">
      <c r="A143" s="2838"/>
      <c r="B143" s="2838"/>
      <c r="C143" s="2835" t="s">
        <v>1376</v>
      </c>
      <c r="D143" s="2834" t="s">
        <v>1377</v>
      </c>
      <c r="E143" s="2835" t="s">
        <v>1376</v>
      </c>
      <c r="F143" s="2834" t="s">
        <v>1377</v>
      </c>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row>
    <row r="144">
      <c r="A144" s="2833" t="s">
        <v>766</v>
      </c>
      <c r="B144" s="2834" t="s">
        <v>1874</v>
      </c>
      <c r="C144" s="2835" t="s">
        <v>766</v>
      </c>
      <c r="D144" s="2834" t="s">
        <v>1380</v>
      </c>
      <c r="E144" s="2835" t="s">
        <v>766</v>
      </c>
      <c r="F144" s="2834" t="s">
        <v>1380</v>
      </c>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row>
    <row r="145">
      <c r="A145" s="2836" t="s">
        <v>1564</v>
      </c>
      <c r="B145" s="2837" t="s">
        <v>1875</v>
      </c>
      <c r="C145" s="2835" t="s">
        <v>1383</v>
      </c>
      <c r="D145" s="2834" t="s">
        <v>1384</v>
      </c>
      <c r="E145" s="2835" t="s">
        <v>1383</v>
      </c>
      <c r="F145" s="2834" t="s">
        <v>1385</v>
      </c>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row>
    <row r="146">
      <c r="A146" s="2840"/>
      <c r="B146" s="2840"/>
      <c r="C146" s="2835" t="s">
        <v>1394</v>
      </c>
      <c r="D146" s="2834" t="s">
        <v>1395</v>
      </c>
      <c r="E146" s="2835" t="s">
        <v>1394</v>
      </c>
      <c r="F146" s="2834" t="s">
        <v>1395</v>
      </c>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row>
    <row r="147">
      <c r="A147" s="2840"/>
      <c r="B147" s="2840"/>
      <c r="C147" s="2835" t="s">
        <v>1402</v>
      </c>
      <c r="D147" s="2834" t="s">
        <v>1403</v>
      </c>
      <c r="E147" s="2835" t="s">
        <v>1402</v>
      </c>
      <c r="F147" s="2834" t="s">
        <v>1404</v>
      </c>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row>
    <row r="148">
      <c r="A148" s="2840"/>
      <c r="B148" s="2840"/>
      <c r="C148" s="2835" t="s">
        <v>1409</v>
      </c>
      <c r="D148" s="2834" t="s">
        <v>1410</v>
      </c>
      <c r="E148" s="2835" t="s">
        <v>1409</v>
      </c>
      <c r="F148" s="2834" t="s">
        <v>1411</v>
      </c>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row>
    <row r="149">
      <c r="A149" s="2840"/>
      <c r="B149" s="2840"/>
      <c r="C149" s="2835" t="s">
        <v>1416</v>
      </c>
      <c r="D149" s="2834" t="s">
        <v>1417</v>
      </c>
      <c r="E149" s="2835" t="s">
        <v>1416</v>
      </c>
      <c r="F149" s="2834" t="s">
        <v>1418</v>
      </c>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row>
    <row r="150">
      <c r="A150" s="2838"/>
      <c r="B150" s="2838"/>
      <c r="C150" s="2835" t="s">
        <v>1420</v>
      </c>
      <c r="D150" s="2834" t="s">
        <v>1421</v>
      </c>
      <c r="E150" s="2835" t="s">
        <v>1420</v>
      </c>
      <c r="F150" s="2834" t="s">
        <v>1421</v>
      </c>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row>
    <row r="151">
      <c r="A151" s="2836" t="s">
        <v>1451</v>
      </c>
      <c r="B151" s="2837" t="s">
        <v>1452</v>
      </c>
      <c r="C151" s="2835" t="s">
        <v>1431</v>
      </c>
      <c r="D151" s="2834" t="s">
        <v>1432</v>
      </c>
      <c r="E151" s="2842" t="s">
        <v>1431</v>
      </c>
      <c r="F151" s="2834" t="s">
        <v>1432</v>
      </c>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row>
    <row r="152">
      <c r="A152" s="2840"/>
      <c r="B152" s="2840"/>
      <c r="C152" s="2835" t="s">
        <v>1435</v>
      </c>
      <c r="D152" s="2834" t="s">
        <v>1436</v>
      </c>
      <c r="E152" s="2842" t="s">
        <v>1435</v>
      </c>
      <c r="F152" s="2834" t="s">
        <v>1436</v>
      </c>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row>
    <row r="153">
      <c r="A153" s="2840"/>
      <c r="B153" s="2840"/>
      <c r="C153" s="2835" t="s">
        <v>1441</v>
      </c>
      <c r="D153" s="2834" t="s">
        <v>1442</v>
      </c>
      <c r="E153" s="2842" t="s">
        <v>1441</v>
      </c>
      <c r="F153" s="2834" t="s">
        <v>1442</v>
      </c>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row>
    <row r="154">
      <c r="A154" s="2840"/>
      <c r="B154" s="2840"/>
      <c r="C154" s="2835" t="s">
        <v>1447</v>
      </c>
      <c r="D154" s="2834" t="s">
        <v>1448</v>
      </c>
      <c r="E154" s="2842" t="s">
        <v>1447</v>
      </c>
      <c r="F154" s="2834" t="s">
        <v>1448</v>
      </c>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row>
    <row r="155">
      <c r="A155" s="2838"/>
      <c r="B155" s="2838"/>
      <c r="C155" s="2835" t="s">
        <v>1451</v>
      </c>
      <c r="D155" s="2834" t="s">
        <v>1452</v>
      </c>
      <c r="E155" s="2842" t="s">
        <v>1451</v>
      </c>
      <c r="F155" s="2834" t="s">
        <v>1452</v>
      </c>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row>
    <row r="156">
      <c r="A156" s="2836" t="s">
        <v>1479</v>
      </c>
      <c r="B156" s="2837" t="s">
        <v>1876</v>
      </c>
      <c r="C156" s="2835" t="s">
        <v>1458</v>
      </c>
      <c r="D156" s="2834" t="s">
        <v>1459</v>
      </c>
      <c r="E156" s="2842" t="s">
        <v>1458</v>
      </c>
      <c r="F156" s="2834" t="s">
        <v>1459</v>
      </c>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row>
    <row r="157">
      <c r="A157" s="2840"/>
      <c r="B157" s="2840"/>
      <c r="C157" s="2835" t="s">
        <v>1462</v>
      </c>
      <c r="D157" s="2834" t="s">
        <v>1463</v>
      </c>
      <c r="E157" s="2842" t="s">
        <v>1462</v>
      </c>
      <c r="F157" s="2834" t="s">
        <v>1463</v>
      </c>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row>
    <row r="158">
      <c r="A158" s="2840"/>
      <c r="B158" s="2840"/>
      <c r="C158" s="2835" t="s">
        <v>1466</v>
      </c>
      <c r="D158" s="2834" t="s">
        <v>1467</v>
      </c>
      <c r="E158" s="2842" t="s">
        <v>1466</v>
      </c>
      <c r="F158" s="2834" t="s">
        <v>1468</v>
      </c>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row>
    <row r="159">
      <c r="A159" s="2840"/>
      <c r="B159" s="2840"/>
      <c r="C159" s="2835" t="s">
        <v>1474</v>
      </c>
      <c r="D159" s="2834" t="s">
        <v>1475</v>
      </c>
      <c r="E159" s="2842" t="s">
        <v>1474</v>
      </c>
      <c r="F159" s="2834" t="s">
        <v>1476</v>
      </c>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row>
    <row r="160">
      <c r="A160" s="2838"/>
      <c r="B160" s="2838"/>
      <c r="C160" s="2835" t="s">
        <v>1479</v>
      </c>
      <c r="D160" s="2834" t="s">
        <v>1480</v>
      </c>
      <c r="E160" s="2842" t="s">
        <v>1479</v>
      </c>
      <c r="F160" s="2834" t="s">
        <v>1481</v>
      </c>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row>
    <row r="161">
      <c r="A161" s="2836" t="s">
        <v>1877</v>
      </c>
      <c r="B161" s="2837" t="s">
        <v>1878</v>
      </c>
      <c r="C161" s="2835" t="s">
        <v>1484</v>
      </c>
      <c r="D161" s="2834" t="s">
        <v>1485</v>
      </c>
      <c r="E161" s="2842" t="s">
        <v>1484</v>
      </c>
      <c r="F161" s="2834" t="s">
        <v>1485</v>
      </c>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row>
    <row r="162">
      <c r="A162" s="2840"/>
      <c r="B162" s="2840"/>
      <c r="C162" s="2835" t="s">
        <v>1487</v>
      </c>
      <c r="D162" s="2834" t="s">
        <v>1488</v>
      </c>
      <c r="E162" s="2842" t="s">
        <v>1487</v>
      </c>
      <c r="F162" s="2834" t="s">
        <v>1488</v>
      </c>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row>
    <row r="163">
      <c r="A163" s="2840"/>
      <c r="B163" s="2840"/>
      <c r="C163" s="2835" t="s">
        <v>1491</v>
      </c>
      <c r="D163" s="2834" t="s">
        <v>1492</v>
      </c>
      <c r="E163" s="2842" t="s">
        <v>1491</v>
      </c>
      <c r="F163" s="2834" t="s">
        <v>1492</v>
      </c>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row>
    <row r="164">
      <c r="A164" s="2838"/>
      <c r="B164" s="2838"/>
      <c r="C164" s="2835" t="s">
        <v>1494</v>
      </c>
      <c r="D164" s="2834" t="s">
        <v>1495</v>
      </c>
      <c r="E164" s="2842" t="s">
        <v>1494</v>
      </c>
      <c r="F164" s="2834" t="s">
        <v>1495</v>
      </c>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row>
    <row r="165">
      <c r="A165" s="2832" t="s">
        <v>1879</v>
      </c>
      <c r="B165" s="482"/>
      <c r="C165" s="482"/>
      <c r="D165" s="482"/>
      <c r="E165" s="482"/>
      <c r="F165" s="483"/>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6"/>
      <c r="B1" s="1006" t="s">
        <v>1880</v>
      </c>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c r="AA1" s="1006"/>
      <c r="AB1" s="1006"/>
      <c r="AC1" s="1006"/>
      <c r="AD1" s="1006"/>
      <c r="AE1" s="1006"/>
      <c r="AF1" s="1006"/>
      <c r="AG1" s="1006"/>
      <c r="AH1" s="1006"/>
      <c r="AI1" s="1006"/>
      <c r="AJ1" s="1006"/>
      <c r="AK1" s="1006"/>
      <c r="AL1" s="1006"/>
      <c r="AM1" s="1006"/>
      <c r="AN1" s="1006"/>
      <c r="AO1" s="1006"/>
      <c r="AP1" s="1006"/>
      <c r="AQ1" s="1006"/>
      <c r="AR1" s="1006"/>
      <c r="AS1" s="1006"/>
    </row>
    <row r="2">
      <c r="A2" s="1006"/>
      <c r="B2" s="1006"/>
      <c r="C2" s="2843" t="s">
        <v>1881</v>
      </c>
      <c r="D2" s="2844"/>
      <c r="E2" s="2844"/>
      <c r="F2" s="2844"/>
      <c r="G2" s="2844"/>
      <c r="H2" s="2844"/>
      <c r="I2" s="2844"/>
      <c r="J2" s="2844"/>
      <c r="K2" s="2844"/>
      <c r="L2" s="2844"/>
      <c r="M2" s="2844"/>
      <c r="N2" s="2844"/>
      <c r="O2" s="2844"/>
      <c r="P2" s="2844"/>
      <c r="Q2" s="2844"/>
      <c r="R2" s="2844"/>
      <c r="S2" s="2844"/>
      <c r="T2" s="2844"/>
      <c r="U2" s="2844"/>
      <c r="V2" s="2844"/>
      <c r="W2" s="2844"/>
      <c r="X2" s="2844"/>
      <c r="Y2" s="2844"/>
      <c r="Z2" s="2844"/>
      <c r="AA2" s="2845" t="s">
        <v>1165</v>
      </c>
      <c r="AB2" s="2846"/>
      <c r="AC2" s="2846"/>
      <c r="AD2" s="2846"/>
      <c r="AE2" s="2846"/>
      <c r="AF2" s="2846"/>
      <c r="AG2" s="2846"/>
      <c r="AH2" s="2846"/>
      <c r="AI2" s="1006"/>
      <c r="AJ2" s="1006"/>
      <c r="AK2" s="1006"/>
      <c r="AL2" s="1006"/>
      <c r="AM2" s="1006"/>
      <c r="AN2" s="1006"/>
      <c r="AO2" s="1006"/>
      <c r="AP2" s="1006"/>
      <c r="AQ2" s="1006"/>
      <c r="AR2" s="1006"/>
      <c r="AS2" s="1006"/>
    </row>
    <row r="3">
      <c r="A3" s="2847">
        <v>1.0</v>
      </c>
      <c r="B3" s="2847">
        <v>2.0</v>
      </c>
      <c r="C3" s="2847">
        <v>3.0</v>
      </c>
      <c r="D3" s="2847">
        <v>4.0</v>
      </c>
      <c r="E3" s="2847">
        <v>5.0</v>
      </c>
      <c r="F3" s="2847">
        <v>6.0</v>
      </c>
      <c r="G3" s="2847">
        <v>7.0</v>
      </c>
      <c r="H3" s="2847">
        <v>8.0</v>
      </c>
      <c r="I3" s="2847">
        <v>9.0</v>
      </c>
      <c r="J3" s="2847">
        <v>10.0</v>
      </c>
      <c r="K3" s="2847">
        <v>11.0</v>
      </c>
      <c r="L3" s="2847">
        <v>12.0</v>
      </c>
      <c r="M3" s="2847">
        <v>13.0</v>
      </c>
      <c r="N3" s="2847">
        <v>14.0</v>
      </c>
      <c r="O3" s="2847">
        <v>15.0</v>
      </c>
      <c r="P3" s="2847">
        <v>16.0</v>
      </c>
      <c r="Q3" s="2847">
        <v>17.0</v>
      </c>
      <c r="R3" s="2847">
        <v>18.0</v>
      </c>
      <c r="S3" s="2847">
        <v>19.0</v>
      </c>
      <c r="T3" s="2847">
        <v>20.0</v>
      </c>
      <c r="U3" s="2847">
        <v>21.0</v>
      </c>
      <c r="V3" s="2847">
        <v>22.0</v>
      </c>
      <c r="W3" s="2847">
        <v>23.0</v>
      </c>
      <c r="X3" s="2847">
        <v>24.0</v>
      </c>
      <c r="Y3" s="2847">
        <v>25.0</v>
      </c>
      <c r="Z3" s="2847">
        <v>26.0</v>
      </c>
      <c r="AA3" s="2847">
        <v>27.0</v>
      </c>
      <c r="AB3" s="2847">
        <v>28.0</v>
      </c>
      <c r="AC3" s="2847">
        <v>29.0</v>
      </c>
      <c r="AD3" s="2847">
        <v>30.0</v>
      </c>
      <c r="AE3" s="2847">
        <v>31.0</v>
      </c>
      <c r="AF3" s="2847">
        <v>32.0</v>
      </c>
      <c r="AG3" s="2847">
        <v>33.0</v>
      </c>
      <c r="AH3" s="2847">
        <v>34.0</v>
      </c>
      <c r="AI3" s="2847">
        <v>35.0</v>
      </c>
      <c r="AJ3" s="2847">
        <v>36.0</v>
      </c>
      <c r="AK3" s="2847">
        <v>37.0</v>
      </c>
      <c r="AL3" s="2847">
        <v>38.0</v>
      </c>
      <c r="AM3" s="2847">
        <v>39.0</v>
      </c>
      <c r="AN3" s="2847">
        <v>40.0</v>
      </c>
      <c r="AO3" s="2847">
        <v>41.0</v>
      </c>
      <c r="AP3" s="2847">
        <v>42.0</v>
      </c>
      <c r="AQ3" s="2847">
        <v>43.0</v>
      </c>
      <c r="AR3" s="2847">
        <v>44.0</v>
      </c>
      <c r="AS3" s="2847">
        <v>45.0</v>
      </c>
    </row>
    <row r="4">
      <c r="A4" s="1006"/>
      <c r="B4" s="1006" t="s">
        <v>1882</v>
      </c>
      <c r="C4" s="1006" t="s">
        <v>1745</v>
      </c>
      <c r="D4" s="1006"/>
      <c r="E4" s="1006" t="s">
        <v>1746</v>
      </c>
      <c r="F4" s="1006"/>
      <c r="G4" s="1006" t="s">
        <v>1747</v>
      </c>
      <c r="H4" s="1006"/>
      <c r="I4" s="1006" t="s">
        <v>1748</v>
      </c>
      <c r="J4" s="1006"/>
      <c r="K4" s="1006" t="s">
        <v>1749</v>
      </c>
      <c r="L4" s="1006"/>
      <c r="M4" s="1006" t="s">
        <v>1750</v>
      </c>
      <c r="N4" s="1006"/>
      <c r="O4" s="1006" t="s">
        <v>1751</v>
      </c>
      <c r="P4" s="1006"/>
      <c r="Q4" s="1006" t="s">
        <v>1628</v>
      </c>
      <c r="R4" s="1006"/>
      <c r="S4" s="1006" t="s">
        <v>1752</v>
      </c>
      <c r="T4" s="1006"/>
      <c r="U4" s="1006" t="s">
        <v>1753</v>
      </c>
      <c r="V4" s="1006"/>
      <c r="W4" s="1006" t="s">
        <v>1754</v>
      </c>
      <c r="X4" s="1006"/>
      <c r="Y4" s="1006" t="s">
        <v>1755</v>
      </c>
      <c r="Z4" s="1006"/>
      <c r="AA4" s="1006" t="s">
        <v>1883</v>
      </c>
      <c r="AB4" s="1006"/>
      <c r="AC4" s="1006" t="s">
        <v>1884</v>
      </c>
      <c r="AD4" s="1006"/>
      <c r="AE4" s="1006" t="s">
        <v>1885</v>
      </c>
      <c r="AF4" s="1006"/>
      <c r="AG4" s="1006" t="s">
        <v>1886</v>
      </c>
      <c r="AH4" s="1006"/>
      <c r="AI4" s="1006"/>
      <c r="AJ4" s="1006"/>
      <c r="AK4" s="1006"/>
      <c r="AL4" s="1006"/>
      <c r="AM4" s="1006"/>
      <c r="AN4" s="1006"/>
      <c r="AO4" s="1006"/>
      <c r="AP4" s="1006"/>
      <c r="AQ4" s="1006"/>
      <c r="AR4" s="1006"/>
      <c r="AS4" s="1006"/>
    </row>
    <row r="5">
      <c r="A5" s="1006"/>
      <c r="B5" s="1006"/>
      <c r="C5" s="1006"/>
      <c r="D5" s="1006"/>
      <c r="E5" s="1006"/>
      <c r="F5" s="1006"/>
      <c r="G5" s="1006"/>
      <c r="H5" s="1006"/>
      <c r="I5" s="1006"/>
      <c r="J5" s="1006"/>
      <c r="K5" s="1006"/>
      <c r="L5" s="1006"/>
      <c r="M5" s="1006"/>
      <c r="N5" s="1006"/>
      <c r="O5" s="1006"/>
      <c r="P5" s="1006"/>
      <c r="Q5" s="1006"/>
      <c r="R5" s="1006"/>
      <c r="S5" s="1006"/>
      <c r="T5" s="1006"/>
      <c r="U5" s="1006"/>
      <c r="V5" s="1006"/>
      <c r="W5" s="1006"/>
      <c r="X5" s="1006"/>
      <c r="Y5" s="1006"/>
      <c r="Z5" s="1006"/>
      <c r="AA5" s="1006"/>
      <c r="AB5" s="1006"/>
      <c r="AC5" s="1006"/>
      <c r="AD5" s="1006"/>
      <c r="AE5" s="1006"/>
      <c r="AF5" s="1006"/>
      <c r="AG5" s="1006"/>
      <c r="AH5" s="1006"/>
      <c r="AI5" s="1006"/>
      <c r="AJ5" s="1006"/>
      <c r="AK5" s="1006"/>
      <c r="AL5" s="1006"/>
      <c r="AM5" s="1006"/>
      <c r="AN5" s="1006"/>
      <c r="AO5" s="1006"/>
      <c r="AP5" s="1006"/>
      <c r="AQ5" s="1006"/>
      <c r="AR5" s="1006"/>
      <c r="AS5" s="1006"/>
    </row>
    <row r="6">
      <c r="A6" s="1006">
        <v>1.0</v>
      </c>
      <c r="B6" s="1006" t="s">
        <v>1635</v>
      </c>
      <c r="C6" s="2848">
        <v>22469.0</v>
      </c>
      <c r="D6" s="2749">
        <f t="shared" ref="D6:D19" si="1">C6/$C$20</f>
        <v>0.1560293045</v>
      </c>
      <c r="E6" s="2848">
        <v>26396.0</v>
      </c>
      <c r="F6" s="2749">
        <f t="shared" ref="F6:F19" si="2">E6/$E$20</f>
        <v>0.1388970743</v>
      </c>
      <c r="G6" s="2848">
        <v>28319.0</v>
      </c>
      <c r="H6" s="2749">
        <f t="shared" ref="H6:H19" si="3">G6/$G$20</f>
        <v>0.1494642951</v>
      </c>
      <c r="I6" s="2848">
        <v>34114.0</v>
      </c>
      <c r="J6" s="2749">
        <f t="shared" ref="J6:J19" si="4">I6/$I$20</f>
        <v>0.1329881997</v>
      </c>
      <c r="K6" s="2848">
        <v>42261.0</v>
      </c>
      <c r="L6" s="2749">
        <f t="shared" ref="L6:L19" si="5">K6/$K$20</f>
        <v>0.1342296588</v>
      </c>
      <c r="M6" s="2848">
        <v>71906.0</v>
      </c>
      <c r="N6" s="2749">
        <f t="shared" ref="N6:N19" si="6">M6/$M$20</f>
        <v>0.139767139</v>
      </c>
      <c r="O6" s="2849">
        <v>73041.0</v>
      </c>
      <c r="P6" s="2749">
        <f t="shared" ref="P6:P19" si="7">O6/$O$20</f>
        <v>0.1264343542</v>
      </c>
      <c r="Q6" s="2848">
        <v>74176.0</v>
      </c>
      <c r="R6" s="2749">
        <f t="shared" ref="R6:R19" si="8">Q6/$Q$20</f>
        <v>0.114869406</v>
      </c>
      <c r="S6" s="2848">
        <v>82258.0</v>
      </c>
      <c r="T6" s="2749">
        <f t="shared" ref="T6:T19" si="9">S6/$S$20</f>
        <v>0.1192217497</v>
      </c>
      <c r="U6" s="2848">
        <v>99253.0</v>
      </c>
      <c r="V6" s="2749">
        <f t="shared" ref="V6:V19" si="10">U6/$U$20</f>
        <v>0.1256634322</v>
      </c>
      <c r="W6" s="2848">
        <v>286211.0</v>
      </c>
      <c r="X6" s="2749">
        <f t="shared" ref="X6:X19" si="11">W6/$W$20</f>
        <v>0.1127346234</v>
      </c>
      <c r="Y6" s="2848">
        <v>389118.0</v>
      </c>
      <c r="Z6" s="2749">
        <f t="shared" ref="Z6:Z19" si="12">Y6/$Y$20</f>
        <v>0.0926820531</v>
      </c>
      <c r="AA6" s="2848">
        <v>259375.0</v>
      </c>
      <c r="AB6" s="2749">
        <f t="shared" ref="AB6:AB19" si="13">AA6/$AA$20</f>
        <v>0.1622739817</v>
      </c>
      <c r="AC6" s="2848">
        <v>341052.0</v>
      </c>
      <c r="AD6" s="2749">
        <f t="shared" ref="AD6:AD19" si="14">AC6/$AC$20</f>
        <v>0.1155276284</v>
      </c>
      <c r="AE6" s="2848">
        <v>899754.0</v>
      </c>
      <c r="AF6" s="2749">
        <f t="shared" ref="AF6:AF19" si="15">AE6/$AE$20</f>
        <v>0.0806587281</v>
      </c>
      <c r="AG6" s="2848">
        <v>1446434.0</v>
      </c>
      <c r="AH6" s="2749">
        <f t="shared" ref="AH6:AH19" si="16">AG6/$AG$20</f>
        <v>0.09825183233</v>
      </c>
      <c r="AI6" s="1006"/>
      <c r="AJ6" s="1006"/>
      <c r="AK6" s="1006"/>
      <c r="AL6" s="1006"/>
      <c r="AM6" s="1006"/>
      <c r="AN6" s="1006"/>
      <c r="AO6" s="1006"/>
      <c r="AP6" s="1006"/>
      <c r="AQ6" s="1006"/>
      <c r="AR6" s="1006"/>
      <c r="AS6" s="1006"/>
    </row>
    <row r="7">
      <c r="A7" s="1006">
        <v>2.0</v>
      </c>
      <c r="B7" s="1006" t="s">
        <v>1887</v>
      </c>
      <c r="C7" s="2848">
        <v>18632.0</v>
      </c>
      <c r="D7" s="2749">
        <f t="shared" si="1"/>
        <v>0.1293843964</v>
      </c>
      <c r="E7" s="2848">
        <v>20432.0</v>
      </c>
      <c r="F7" s="2749">
        <f t="shared" si="2"/>
        <v>0.1075142075</v>
      </c>
      <c r="G7" s="2848">
        <v>21920.0</v>
      </c>
      <c r="H7" s="2749">
        <f t="shared" si="3"/>
        <v>0.1156911384</v>
      </c>
      <c r="I7" s="2848">
        <v>24505.0</v>
      </c>
      <c r="J7" s="2749">
        <f t="shared" si="4"/>
        <v>0.09552898616</v>
      </c>
      <c r="K7" s="2848">
        <v>30357.0</v>
      </c>
      <c r="L7" s="2749">
        <f t="shared" si="5"/>
        <v>0.09642009776</v>
      </c>
      <c r="M7" s="2848">
        <v>61391.0</v>
      </c>
      <c r="N7" s="2749">
        <f t="shared" si="6"/>
        <v>0.1193286295</v>
      </c>
      <c r="O7" s="2848">
        <v>100477.0</v>
      </c>
      <c r="P7" s="2749">
        <f t="shared" si="7"/>
        <v>0.1739262142</v>
      </c>
      <c r="Q7" s="2849">
        <v>107805.0</v>
      </c>
      <c r="R7" s="2749">
        <f t="shared" si="8"/>
        <v>0.1669474806</v>
      </c>
      <c r="S7" s="2848">
        <v>115133.0</v>
      </c>
      <c r="T7" s="2749">
        <f t="shared" si="9"/>
        <v>0.1668695776</v>
      </c>
      <c r="U7" s="2848">
        <v>159729.0</v>
      </c>
      <c r="V7" s="2749">
        <f t="shared" si="10"/>
        <v>0.2022316138</v>
      </c>
      <c r="W7" s="2848">
        <v>441591.0</v>
      </c>
      <c r="X7" s="2749">
        <f t="shared" si="11"/>
        <v>0.1739366938</v>
      </c>
      <c r="Y7" s="2848">
        <v>705541.0</v>
      </c>
      <c r="Z7" s="2749">
        <f t="shared" si="12"/>
        <v>0.1680492509</v>
      </c>
      <c r="AA7" s="2848">
        <v>247529.0</v>
      </c>
      <c r="AB7" s="2749">
        <f t="shared" si="13"/>
        <v>0.1548627139</v>
      </c>
      <c r="AC7" s="2848">
        <v>557181.0</v>
      </c>
      <c r="AD7" s="2749">
        <f t="shared" si="14"/>
        <v>0.1887389592</v>
      </c>
      <c r="AE7" s="2848">
        <v>2029025.0</v>
      </c>
      <c r="AF7" s="2749">
        <f t="shared" si="15"/>
        <v>0.1818925793</v>
      </c>
      <c r="AG7" s="2848">
        <v>3618769.0</v>
      </c>
      <c r="AH7" s="2749">
        <f t="shared" si="16"/>
        <v>0.2458118967</v>
      </c>
      <c r="AI7" s="1006"/>
      <c r="AJ7" s="1006"/>
      <c r="AK7" s="1006"/>
      <c r="AL7" s="1006"/>
      <c r="AM7" s="1006"/>
      <c r="AN7" s="1006"/>
      <c r="AO7" s="1006"/>
      <c r="AP7" s="1006"/>
      <c r="AQ7" s="1006"/>
      <c r="AR7" s="1006"/>
      <c r="AS7" s="1006"/>
    </row>
    <row r="8">
      <c r="A8" s="1006">
        <v>3.0</v>
      </c>
      <c r="B8" s="1006" t="s">
        <v>1642</v>
      </c>
      <c r="C8" s="2848">
        <v>14902.0</v>
      </c>
      <c r="D8" s="2749">
        <f t="shared" si="1"/>
        <v>0.103482518</v>
      </c>
      <c r="E8" s="2848">
        <v>19750.0</v>
      </c>
      <c r="F8" s="2749">
        <f t="shared" si="2"/>
        <v>0.1039254894</v>
      </c>
      <c r="G8" s="2848">
        <v>19195.0</v>
      </c>
      <c r="H8" s="2749">
        <f t="shared" si="3"/>
        <v>0.1013089143</v>
      </c>
      <c r="I8" s="2848">
        <v>38420.0</v>
      </c>
      <c r="J8" s="2749">
        <f t="shared" si="4"/>
        <v>0.1497744806</v>
      </c>
      <c r="K8" s="2848">
        <v>42965.0</v>
      </c>
      <c r="L8" s="2749">
        <f t="shared" si="5"/>
        <v>0.1364657081</v>
      </c>
      <c r="M8" s="2848">
        <v>59592.0</v>
      </c>
      <c r="N8" s="2749">
        <f t="shared" si="6"/>
        <v>0.1158318269</v>
      </c>
      <c r="O8" s="2848">
        <v>68884.0</v>
      </c>
      <c r="P8" s="2749">
        <f t="shared" si="7"/>
        <v>0.1192385654</v>
      </c>
      <c r="Q8" s="2848">
        <v>68370.0</v>
      </c>
      <c r="R8" s="2749">
        <f t="shared" si="8"/>
        <v>0.105878199</v>
      </c>
      <c r="S8" s="2848">
        <v>79938.0</v>
      </c>
      <c r="T8" s="2749">
        <f t="shared" si="9"/>
        <v>0.1158592262</v>
      </c>
      <c r="U8" s="2848">
        <v>92134.0</v>
      </c>
      <c r="V8" s="2749">
        <f t="shared" si="10"/>
        <v>0.1166501231</v>
      </c>
      <c r="W8" s="2848">
        <v>247380.0</v>
      </c>
      <c r="X8" s="2749">
        <f t="shared" si="11"/>
        <v>0.09743962017</v>
      </c>
      <c r="Y8" s="2848">
        <v>371065.0</v>
      </c>
      <c r="Z8" s="2749">
        <f t="shared" si="12"/>
        <v>0.08838210011</v>
      </c>
      <c r="AA8" s="2848">
        <v>166207.0</v>
      </c>
      <c r="AB8" s="2749">
        <f t="shared" si="13"/>
        <v>0.1039848546</v>
      </c>
      <c r="AC8" s="2848">
        <v>389239.0</v>
      </c>
      <c r="AD8" s="2749">
        <f t="shared" si="14"/>
        <v>0.1318504467</v>
      </c>
      <c r="AE8" s="2848">
        <v>1188436.0</v>
      </c>
      <c r="AF8" s="2749">
        <f t="shared" si="15"/>
        <v>0.1065377161</v>
      </c>
      <c r="AG8" s="2848">
        <v>1094001.0</v>
      </c>
      <c r="AH8" s="2749">
        <f t="shared" si="16"/>
        <v>0.07431213786</v>
      </c>
      <c r="AI8" s="1006"/>
      <c r="AJ8" s="1006"/>
      <c r="AK8" s="1006"/>
      <c r="AL8" s="1006"/>
      <c r="AM8" s="1006"/>
      <c r="AN8" s="1006"/>
      <c r="AO8" s="1006"/>
      <c r="AP8" s="1006"/>
      <c r="AQ8" s="1006"/>
      <c r="AR8" s="1006"/>
      <c r="AS8" s="1006"/>
    </row>
    <row r="9">
      <c r="A9" s="1006">
        <v>4.0</v>
      </c>
      <c r="B9" s="1006" t="s">
        <v>1651</v>
      </c>
      <c r="C9" s="2848">
        <v>4512.0</v>
      </c>
      <c r="D9" s="2749">
        <f t="shared" si="1"/>
        <v>0.03133224541</v>
      </c>
      <c r="E9" s="2848">
        <v>17260.0</v>
      </c>
      <c r="F9" s="2749">
        <f t="shared" si="2"/>
        <v>0.09082298463</v>
      </c>
      <c r="G9" s="2848">
        <v>16770.0</v>
      </c>
      <c r="H9" s="2749">
        <f t="shared" si="3"/>
        <v>0.08851005436</v>
      </c>
      <c r="I9" s="2848">
        <v>18653.0</v>
      </c>
      <c r="J9" s="2749">
        <f t="shared" si="4"/>
        <v>0.0727158612</v>
      </c>
      <c r="K9" s="2848">
        <v>16857.0</v>
      </c>
      <c r="L9" s="2749">
        <f t="shared" si="5"/>
        <v>0.05354131133</v>
      </c>
      <c r="M9" s="2848">
        <v>26061.0</v>
      </c>
      <c r="N9" s="2749">
        <f t="shared" si="6"/>
        <v>0.05065601493</v>
      </c>
      <c r="O9" s="2848">
        <v>27382.0</v>
      </c>
      <c r="P9" s="2749">
        <f t="shared" si="7"/>
        <v>0.04739838566</v>
      </c>
      <c r="Q9" s="2848">
        <v>24465.0</v>
      </c>
      <c r="R9" s="2749">
        <f t="shared" si="8"/>
        <v>0.03788664823</v>
      </c>
      <c r="S9" s="2848">
        <v>29046.0</v>
      </c>
      <c r="T9" s="2749">
        <f t="shared" si="9"/>
        <v>0.04209821467</v>
      </c>
      <c r="U9" s="2848">
        <v>40114.0</v>
      </c>
      <c r="V9" s="2749">
        <f t="shared" si="10"/>
        <v>0.05078801568</v>
      </c>
      <c r="W9" s="2848">
        <v>67881.0</v>
      </c>
      <c r="X9" s="2749">
        <f t="shared" si="11"/>
        <v>0.02673740341</v>
      </c>
      <c r="Y9" s="2848">
        <v>62977.0</v>
      </c>
      <c r="Z9" s="2749">
        <f t="shared" si="12"/>
        <v>0.01500017388</v>
      </c>
      <c r="AA9" s="2848">
        <v>38829.0</v>
      </c>
      <c r="AB9" s="2749">
        <f t="shared" si="13"/>
        <v>0.02429276698</v>
      </c>
      <c r="AC9" s="2848">
        <v>37868.0</v>
      </c>
      <c r="AD9" s="2749">
        <f t="shared" si="14"/>
        <v>0.01282737011</v>
      </c>
      <c r="AE9" s="2848">
        <v>229054.0</v>
      </c>
      <c r="AF9" s="2749">
        <f t="shared" si="15"/>
        <v>0.02053361731</v>
      </c>
      <c r="AG9" s="2848">
        <v>213465.0</v>
      </c>
      <c r="AH9" s="2749">
        <f t="shared" si="16"/>
        <v>0.01450002377</v>
      </c>
      <c r="AI9" s="1006"/>
      <c r="AJ9" s="1006"/>
      <c r="AK9" s="1006"/>
      <c r="AL9" s="1006"/>
      <c r="AM9" s="1006"/>
      <c r="AN9" s="1006"/>
      <c r="AO9" s="1006"/>
      <c r="AP9" s="1006"/>
      <c r="AQ9" s="1006"/>
      <c r="AR9" s="1006"/>
      <c r="AS9" s="1006"/>
    </row>
    <row r="10">
      <c r="A10" s="1006">
        <v>5.0</v>
      </c>
      <c r="B10" s="1006" t="s">
        <v>1653</v>
      </c>
      <c r="C10" s="2848">
        <v>5953.0</v>
      </c>
      <c r="D10" s="2749">
        <f t="shared" si="1"/>
        <v>0.0413388424</v>
      </c>
      <c r="E10" s="2848">
        <v>7903.0</v>
      </c>
      <c r="F10" s="2749">
        <f t="shared" si="2"/>
        <v>0.0415859819</v>
      </c>
      <c r="G10" s="2848">
        <v>7611.0</v>
      </c>
      <c r="H10" s="2749">
        <f t="shared" si="3"/>
        <v>0.04016994775</v>
      </c>
      <c r="I10" s="2848">
        <v>6559.0</v>
      </c>
      <c r="J10" s="2749">
        <f t="shared" si="4"/>
        <v>0.02556925608</v>
      </c>
      <c r="K10" s="2848">
        <v>6559.0</v>
      </c>
      <c r="L10" s="2749">
        <f t="shared" si="5"/>
        <v>0.02083273779</v>
      </c>
      <c r="M10" s="2848">
        <v>9821.0</v>
      </c>
      <c r="N10" s="2749">
        <f t="shared" si="6"/>
        <v>0.01908954847</v>
      </c>
      <c r="O10" s="2848">
        <v>11771.0</v>
      </c>
      <c r="P10" s="2749">
        <f t="shared" si="7"/>
        <v>0.02037566276</v>
      </c>
      <c r="Q10" s="2848">
        <v>13428.0</v>
      </c>
      <c r="R10" s="2749">
        <f t="shared" si="8"/>
        <v>0.02079468271</v>
      </c>
      <c r="S10" s="2848">
        <v>13721.0</v>
      </c>
      <c r="T10" s="2749">
        <f t="shared" si="9"/>
        <v>0.01988671774</v>
      </c>
      <c r="U10" s="2848">
        <v>14306.0</v>
      </c>
      <c r="V10" s="2749">
        <f t="shared" si="10"/>
        <v>0.01811271258</v>
      </c>
      <c r="W10" s="2848">
        <v>37510.0</v>
      </c>
      <c r="X10" s="2749">
        <f t="shared" si="11"/>
        <v>0.01477467925</v>
      </c>
      <c r="Y10" s="2848">
        <v>45072.0</v>
      </c>
      <c r="Z10" s="2749">
        <f t="shared" si="12"/>
        <v>0.01073547227</v>
      </c>
      <c r="AA10" s="2848">
        <v>44167.0</v>
      </c>
      <c r="AB10" s="2749">
        <f t="shared" si="13"/>
        <v>0.02763240462</v>
      </c>
      <c r="AC10" s="2848">
        <v>56745.0</v>
      </c>
      <c r="AD10" s="2749">
        <f t="shared" si="14"/>
        <v>0.01922174705</v>
      </c>
      <c r="AE10" s="2848">
        <v>157189.0</v>
      </c>
      <c r="AF10" s="2749">
        <f t="shared" si="15"/>
        <v>0.01409125696</v>
      </c>
      <c r="AG10" s="2848">
        <v>147545.0</v>
      </c>
      <c r="AH10" s="2749">
        <f t="shared" si="16"/>
        <v>0.01002228004</v>
      </c>
      <c r="AI10" s="1006"/>
      <c r="AJ10" s="1006"/>
      <c r="AK10" s="1006"/>
      <c r="AL10" s="1006"/>
      <c r="AM10" s="1006"/>
      <c r="AN10" s="1006"/>
      <c r="AO10" s="1006"/>
      <c r="AP10" s="1006"/>
      <c r="AQ10" s="1006"/>
      <c r="AR10" s="1006"/>
      <c r="AS10" s="1006"/>
    </row>
    <row r="11">
      <c r="A11" s="1006">
        <v>6.0</v>
      </c>
      <c r="B11" s="1006" t="s">
        <v>1655</v>
      </c>
      <c r="C11" s="2848">
        <v>3769.0</v>
      </c>
      <c r="D11" s="2749">
        <f t="shared" si="1"/>
        <v>0.02617270234</v>
      </c>
      <c r="E11" s="2848">
        <v>4039.0</v>
      </c>
      <c r="F11" s="2749">
        <f t="shared" si="2"/>
        <v>0.02125342033</v>
      </c>
      <c r="G11" s="2848">
        <v>3769.0</v>
      </c>
      <c r="H11" s="2749">
        <f t="shared" si="3"/>
        <v>0.01989233124</v>
      </c>
      <c r="I11" s="2848">
        <v>9286.0</v>
      </c>
      <c r="J11" s="2749">
        <f t="shared" si="4"/>
        <v>0.03620004756</v>
      </c>
      <c r="K11" s="2848">
        <v>9286.0</v>
      </c>
      <c r="L11" s="2749">
        <f t="shared" si="5"/>
        <v>0.02949425265</v>
      </c>
      <c r="M11" s="2848">
        <v>13168.0</v>
      </c>
      <c r="N11" s="2749">
        <f t="shared" si="6"/>
        <v>0.02559527281</v>
      </c>
      <c r="O11" s="2848">
        <v>13168.0</v>
      </c>
      <c r="P11" s="2749">
        <f t="shared" si="7"/>
        <v>0.02279387709</v>
      </c>
      <c r="Q11" s="2848">
        <v>13622.0</v>
      </c>
      <c r="R11" s="2749">
        <f t="shared" si="8"/>
        <v>0.02109511229</v>
      </c>
      <c r="S11" s="2848">
        <v>16347.0</v>
      </c>
      <c r="T11" s="2749">
        <f t="shared" si="9"/>
        <v>0.02369274652</v>
      </c>
      <c r="U11" s="2848">
        <v>20433.0</v>
      </c>
      <c r="V11" s="2749">
        <f t="shared" si="10"/>
        <v>0.02587005844</v>
      </c>
      <c r="W11" s="2848">
        <v>28607.0</v>
      </c>
      <c r="X11" s="2749">
        <f t="shared" si="11"/>
        <v>0.01126790854</v>
      </c>
      <c r="Y11" s="2848">
        <v>51502.0</v>
      </c>
      <c r="Z11" s="2749">
        <f t="shared" si="12"/>
        <v>0.01226700152</v>
      </c>
      <c r="AA11" s="2848">
        <v>35235.0</v>
      </c>
      <c r="AB11" s="2749">
        <f t="shared" si="13"/>
        <v>0.02204423612</v>
      </c>
      <c r="AC11" s="2848">
        <v>64054.0</v>
      </c>
      <c r="AD11" s="2749">
        <f t="shared" si="14"/>
        <v>0.02169759072</v>
      </c>
      <c r="AE11" s="2848">
        <v>233371.0</v>
      </c>
      <c r="AF11" s="2749">
        <f t="shared" si="15"/>
        <v>0.02092061612</v>
      </c>
      <c r="AG11" s="2848">
        <v>261921.0</v>
      </c>
      <c r="AH11" s="2749">
        <f t="shared" si="16"/>
        <v>0.01779149147</v>
      </c>
      <c r="AI11" s="1006"/>
      <c r="AJ11" s="1006"/>
      <c r="AK11" s="1006"/>
      <c r="AL11" s="1006"/>
      <c r="AM11" s="1006"/>
      <c r="AN11" s="1006"/>
      <c r="AO11" s="1006"/>
      <c r="AP11" s="1006"/>
      <c r="AQ11" s="1006"/>
      <c r="AR11" s="1006"/>
      <c r="AS11" s="1006"/>
    </row>
    <row r="12">
      <c r="A12" s="1006">
        <v>7.0</v>
      </c>
      <c r="B12" s="1006" t="s">
        <v>1888</v>
      </c>
      <c r="C12" s="2848">
        <v>3338.0</v>
      </c>
      <c r="D12" s="2749">
        <f t="shared" si="1"/>
        <v>0.0231797507</v>
      </c>
      <c r="E12" s="2848">
        <v>3338.0</v>
      </c>
      <c r="F12" s="2749">
        <f t="shared" si="2"/>
        <v>0.01756472322</v>
      </c>
      <c r="G12" s="2848">
        <v>3338.0</v>
      </c>
      <c r="H12" s="2749">
        <f t="shared" si="3"/>
        <v>0.01761756479</v>
      </c>
      <c r="I12" s="2848">
        <v>3338.0</v>
      </c>
      <c r="J12" s="2749">
        <f t="shared" si="4"/>
        <v>0.01301268132</v>
      </c>
      <c r="K12" s="2848">
        <v>3338.0</v>
      </c>
      <c r="L12" s="2749">
        <f t="shared" si="5"/>
        <v>0.01060217697</v>
      </c>
      <c r="M12" s="2848">
        <v>3338.0</v>
      </c>
      <c r="N12" s="2749">
        <f t="shared" si="6"/>
        <v>0.006488230606</v>
      </c>
      <c r="O12" s="2848">
        <v>3338.0</v>
      </c>
      <c r="P12" s="2749">
        <f t="shared" si="7"/>
        <v>0.005778095513</v>
      </c>
      <c r="Q12" s="2848">
        <v>3338.0</v>
      </c>
      <c r="R12" s="2749">
        <f t="shared" si="8"/>
        <v>0.005169247161</v>
      </c>
      <c r="S12" s="2848">
        <v>3338.0</v>
      </c>
      <c r="T12" s="2749">
        <f t="shared" si="9"/>
        <v>0.004837975645</v>
      </c>
      <c r="U12" s="2848">
        <v>3338.0</v>
      </c>
      <c r="V12" s="2749">
        <f t="shared" si="10"/>
        <v>0.004226215195</v>
      </c>
      <c r="W12" s="2848">
        <v>3338.0</v>
      </c>
      <c r="X12" s="2749">
        <f t="shared" si="11"/>
        <v>0.001314792837</v>
      </c>
      <c r="Y12" s="2848">
        <v>5006.0</v>
      </c>
      <c r="Z12" s="2749">
        <f t="shared" si="12"/>
        <v>0.001192353882</v>
      </c>
      <c r="AA12" s="2848">
        <v>26703.0</v>
      </c>
      <c r="AB12" s="2749">
        <f t="shared" si="13"/>
        <v>0.01670632147</v>
      </c>
      <c r="AC12" s="2848">
        <v>26703.0</v>
      </c>
      <c r="AD12" s="2749">
        <f t="shared" si="14"/>
        <v>0.00904534869</v>
      </c>
      <c r="AE12" s="2848">
        <v>33379.0</v>
      </c>
      <c r="AF12" s="2749">
        <f t="shared" si="15"/>
        <v>0.002992270871</v>
      </c>
      <c r="AG12" s="2848">
        <v>26703.0</v>
      </c>
      <c r="AH12" s="2749">
        <f t="shared" si="16"/>
        <v>0.00181385302</v>
      </c>
      <c r="AI12" s="1006"/>
      <c r="AJ12" s="1006"/>
      <c r="AK12" s="1006"/>
      <c r="AL12" s="1006"/>
      <c r="AM12" s="1006"/>
      <c r="AN12" s="1006"/>
      <c r="AO12" s="1006"/>
      <c r="AP12" s="1006"/>
      <c r="AQ12" s="1006"/>
      <c r="AR12" s="1006"/>
      <c r="AS12" s="1006"/>
    </row>
    <row r="13">
      <c r="A13" s="1006">
        <v>8.0</v>
      </c>
      <c r="B13" s="1006" t="s">
        <v>1660</v>
      </c>
      <c r="C13" s="2848">
        <v>13309.0</v>
      </c>
      <c r="D13" s="2749">
        <f t="shared" si="1"/>
        <v>0.09242040207</v>
      </c>
      <c r="E13" s="2848">
        <v>29891.0</v>
      </c>
      <c r="F13" s="2749">
        <f t="shared" si="2"/>
        <v>0.1572879394</v>
      </c>
      <c r="G13" s="2848">
        <v>29929.0</v>
      </c>
      <c r="H13" s="2749">
        <f t="shared" si="3"/>
        <v>0.1579616826</v>
      </c>
      <c r="I13" s="2848">
        <v>43390.0</v>
      </c>
      <c r="J13" s="2749">
        <f t="shared" si="4"/>
        <v>0.1691492638</v>
      </c>
      <c r="K13" s="2849">
        <v>71688.0</v>
      </c>
      <c r="L13" s="2749">
        <f t="shared" si="5"/>
        <v>0.2276958846</v>
      </c>
      <c r="M13" s="2848">
        <v>99987.0</v>
      </c>
      <c r="N13" s="2749">
        <f t="shared" si="6"/>
        <v>0.1943495248</v>
      </c>
      <c r="O13" s="2848">
        <v>112980.0</v>
      </c>
      <c r="P13" s="2749">
        <f t="shared" si="7"/>
        <v>0.1955689728</v>
      </c>
      <c r="Q13" s="2848">
        <v>149030.0</v>
      </c>
      <c r="R13" s="2749">
        <f t="shared" si="8"/>
        <v>0.230788767</v>
      </c>
      <c r="S13" s="2849">
        <v>149030.0</v>
      </c>
      <c r="T13" s="2749">
        <f t="shared" si="9"/>
        <v>0.215998655</v>
      </c>
      <c r="U13" s="2849">
        <v>149030.0</v>
      </c>
      <c r="V13" s="2749">
        <f t="shared" si="10"/>
        <v>0.1886856952</v>
      </c>
      <c r="W13" s="2848">
        <v>399427.0</v>
      </c>
      <c r="X13" s="2749">
        <f t="shared" si="11"/>
        <v>0.1573288672</v>
      </c>
      <c r="Y13" s="2848">
        <v>982247.0</v>
      </c>
      <c r="Z13" s="2749">
        <f t="shared" si="12"/>
        <v>0.2339564569</v>
      </c>
      <c r="AA13" s="2848">
        <v>237545.0</v>
      </c>
      <c r="AB13" s="2749">
        <f t="shared" si="13"/>
        <v>0.1486163777</v>
      </c>
      <c r="AC13" s="2848">
        <v>519512.0</v>
      </c>
      <c r="AD13" s="2749">
        <f t="shared" si="14"/>
        <v>0.1759789982</v>
      </c>
      <c r="AE13" s="2848">
        <v>2564845.0</v>
      </c>
      <c r="AF13" s="2749">
        <f t="shared" si="15"/>
        <v>0.2299263304</v>
      </c>
      <c r="AG13" s="2848">
        <v>2628948.0</v>
      </c>
      <c r="AH13" s="2749">
        <f t="shared" si="16"/>
        <v>0.1785763872</v>
      </c>
      <c r="AI13" s="1006"/>
      <c r="AJ13" s="1006"/>
      <c r="AK13" s="1006"/>
      <c r="AL13" s="1006"/>
      <c r="AM13" s="1006"/>
      <c r="AN13" s="1006"/>
      <c r="AO13" s="1006"/>
      <c r="AP13" s="1006"/>
      <c r="AQ13" s="1006"/>
      <c r="AR13" s="1006"/>
      <c r="AS13" s="1006"/>
    </row>
    <row r="14">
      <c r="A14" s="1006">
        <v>9.0</v>
      </c>
      <c r="B14" s="1006" t="s">
        <v>1665</v>
      </c>
      <c r="C14" s="2848">
        <v>15320.0</v>
      </c>
      <c r="D14" s="2749">
        <f t="shared" si="1"/>
        <v>0.106385195</v>
      </c>
      <c r="E14" s="2848">
        <v>18375.0</v>
      </c>
      <c r="F14" s="2749">
        <f t="shared" si="2"/>
        <v>0.09669017049</v>
      </c>
      <c r="G14" s="2848">
        <v>19303.0</v>
      </c>
      <c r="H14" s="2749">
        <f t="shared" si="3"/>
        <v>0.1018789254</v>
      </c>
      <c r="I14" s="2848">
        <v>27813.0</v>
      </c>
      <c r="J14" s="2749">
        <f t="shared" si="4"/>
        <v>0.1084247171</v>
      </c>
      <c r="K14" s="2848">
        <v>35108.0</v>
      </c>
      <c r="L14" s="2749">
        <f t="shared" si="5"/>
        <v>0.1115102544</v>
      </c>
      <c r="M14" s="2848">
        <v>47719.0</v>
      </c>
      <c r="N14" s="2749">
        <f t="shared" si="6"/>
        <v>0.0927537077</v>
      </c>
      <c r="O14" s="2849">
        <v>52472.0</v>
      </c>
      <c r="P14" s="2749">
        <f t="shared" si="7"/>
        <v>0.0908293073</v>
      </c>
      <c r="Q14" s="2848">
        <v>57224.0</v>
      </c>
      <c r="R14" s="2749">
        <f t="shared" si="8"/>
        <v>0.08861743545</v>
      </c>
      <c r="S14" s="2849">
        <v>62923.0</v>
      </c>
      <c r="T14" s="2749">
        <f t="shared" si="9"/>
        <v>0.09119830482</v>
      </c>
      <c r="U14" s="2848">
        <v>68622.0</v>
      </c>
      <c r="V14" s="2749">
        <f t="shared" si="10"/>
        <v>0.08688176726</v>
      </c>
      <c r="W14" s="2848">
        <v>309804.0</v>
      </c>
      <c r="X14" s="2749">
        <f t="shared" si="11"/>
        <v>0.1220275854</v>
      </c>
      <c r="Y14" s="2848">
        <v>461267.0</v>
      </c>
      <c r="Z14" s="2749">
        <f t="shared" si="12"/>
        <v>0.1098668594</v>
      </c>
      <c r="AA14" s="2848">
        <v>158653.0</v>
      </c>
      <c r="AB14" s="2749">
        <f t="shared" si="13"/>
        <v>0.09925881066</v>
      </c>
      <c r="AC14" s="2848">
        <v>199203.0</v>
      </c>
      <c r="AD14" s="2749">
        <f t="shared" si="14"/>
        <v>0.06747783376</v>
      </c>
      <c r="AE14" s="2848">
        <v>550088.0</v>
      </c>
      <c r="AF14" s="2749">
        <f t="shared" si="15"/>
        <v>0.04931281041</v>
      </c>
      <c r="AG14" s="2848">
        <v>1869599.0</v>
      </c>
      <c r="AH14" s="2749">
        <f t="shared" si="16"/>
        <v>0.126996135</v>
      </c>
      <c r="AI14" s="1006"/>
      <c r="AJ14" s="1006"/>
      <c r="AK14" s="1006"/>
      <c r="AL14" s="1006"/>
      <c r="AM14" s="1006"/>
      <c r="AN14" s="1006"/>
      <c r="AO14" s="1006"/>
      <c r="AP14" s="1006"/>
      <c r="AQ14" s="1006"/>
      <c r="AR14" s="1006"/>
      <c r="AS14" s="1006"/>
    </row>
    <row r="15">
      <c r="A15" s="1006">
        <v>10.0</v>
      </c>
      <c r="B15" s="1006" t="s">
        <v>1671</v>
      </c>
      <c r="C15" s="2848">
        <v>6680.0</v>
      </c>
      <c r="D15" s="2749">
        <f t="shared" si="1"/>
        <v>0.04638727822</v>
      </c>
      <c r="E15" s="2848">
        <v>9342.0</v>
      </c>
      <c r="F15" s="2749">
        <f t="shared" si="2"/>
        <v>0.04915807198</v>
      </c>
      <c r="G15" s="2848">
        <v>10778.0</v>
      </c>
      <c r="H15" s="2749">
        <f t="shared" si="3"/>
        <v>0.05688499499</v>
      </c>
      <c r="I15" s="2848">
        <v>10783.0</v>
      </c>
      <c r="J15" s="2749">
        <f t="shared" si="4"/>
        <v>0.04203587259</v>
      </c>
      <c r="K15" s="2848">
        <v>10783.0</v>
      </c>
      <c r="L15" s="2749">
        <f t="shared" si="5"/>
        <v>0.03424903364</v>
      </c>
      <c r="M15" s="2848">
        <v>17912.0</v>
      </c>
      <c r="N15" s="2749">
        <f t="shared" si="6"/>
        <v>0.03481641301</v>
      </c>
      <c r="O15" s="2848">
        <v>19990.0</v>
      </c>
      <c r="P15" s="2749">
        <f t="shared" si="7"/>
        <v>0.03460279488</v>
      </c>
      <c r="Q15" s="2848">
        <v>18554.0</v>
      </c>
      <c r="R15" s="2749">
        <f t="shared" si="8"/>
        <v>0.02873283757</v>
      </c>
      <c r="S15" s="2848">
        <v>20632.0</v>
      </c>
      <c r="T15" s="2749">
        <f t="shared" si="9"/>
        <v>0.02990326947</v>
      </c>
      <c r="U15" s="2848">
        <v>22710.0</v>
      </c>
      <c r="V15" s="2749">
        <f t="shared" si="10"/>
        <v>0.02875294999</v>
      </c>
      <c r="W15" s="2848">
        <v>46629.0</v>
      </c>
      <c r="X15" s="2749">
        <f t="shared" si="11"/>
        <v>0.01836652942</v>
      </c>
      <c r="Y15" s="2848">
        <v>145251.0</v>
      </c>
      <c r="Z15" s="2749">
        <f t="shared" si="12"/>
        <v>0.03459660282</v>
      </c>
      <c r="AA15" s="2848">
        <v>93472.0</v>
      </c>
      <c r="AB15" s="2749">
        <f t="shared" si="13"/>
        <v>0.05847931996</v>
      </c>
      <c r="AC15" s="2848">
        <v>136045.0</v>
      </c>
      <c r="AD15" s="2749">
        <f t="shared" si="14"/>
        <v>0.04608375323</v>
      </c>
      <c r="AE15" s="2848">
        <v>348735.0</v>
      </c>
      <c r="AF15" s="2749">
        <f t="shared" si="15"/>
        <v>0.0312624579</v>
      </c>
      <c r="AG15" s="2848">
        <v>336903.0</v>
      </c>
      <c r="AH15" s="2749">
        <f t="shared" si="16"/>
        <v>0.02288478912</v>
      </c>
      <c r="AI15" s="1006"/>
      <c r="AJ15" s="1006"/>
      <c r="AK15" s="1006"/>
      <c r="AL15" s="1006"/>
      <c r="AM15" s="1006"/>
      <c r="AN15" s="1006"/>
      <c r="AO15" s="1006"/>
      <c r="AP15" s="1006"/>
      <c r="AQ15" s="1006"/>
      <c r="AR15" s="1006"/>
      <c r="AS15" s="1006"/>
    </row>
    <row r="16">
      <c r="A16" s="1006">
        <v>11.0</v>
      </c>
      <c r="B16" s="1006" t="s">
        <v>1673</v>
      </c>
      <c r="C16" s="2848">
        <v>5268.0</v>
      </c>
      <c r="D16" s="2749">
        <f t="shared" si="1"/>
        <v>0.03658206312</v>
      </c>
      <c r="E16" s="2848">
        <v>4451.0</v>
      </c>
      <c r="F16" s="2749">
        <f t="shared" si="2"/>
        <v>0.02342138497</v>
      </c>
      <c r="G16" s="2848">
        <v>3315.0</v>
      </c>
      <c r="H16" s="2749">
        <f t="shared" si="3"/>
        <v>0.01749617354</v>
      </c>
      <c r="I16" s="2848">
        <v>10592.0</v>
      </c>
      <c r="J16" s="2749">
        <f t="shared" si="4"/>
        <v>0.04129128836</v>
      </c>
      <c r="K16" s="2848">
        <v>14705.0</v>
      </c>
      <c r="L16" s="2749">
        <f t="shared" si="5"/>
        <v>0.04670611515</v>
      </c>
      <c r="M16" s="2848">
        <v>23490.0</v>
      </c>
      <c r="N16" s="2749">
        <f t="shared" si="6"/>
        <v>0.04565863899</v>
      </c>
      <c r="O16" s="2848">
        <v>18921.0</v>
      </c>
      <c r="P16" s="2749">
        <f t="shared" si="7"/>
        <v>0.03275235027</v>
      </c>
      <c r="Q16" s="2848">
        <v>23206.0</v>
      </c>
      <c r="R16" s="2749">
        <f t="shared" si="8"/>
        <v>0.03593695315</v>
      </c>
      <c r="S16" s="2848">
        <v>23206.0</v>
      </c>
      <c r="T16" s="2749">
        <f t="shared" si="9"/>
        <v>0.03363393134</v>
      </c>
      <c r="U16" s="2848">
        <v>25777.0</v>
      </c>
      <c r="V16" s="2749">
        <f t="shared" si="10"/>
        <v>0.03263605425</v>
      </c>
      <c r="W16" s="2848">
        <v>71110.0</v>
      </c>
      <c r="X16" s="2749">
        <f t="shared" si="11"/>
        <v>0.02800926263</v>
      </c>
      <c r="Y16" s="2848">
        <v>119608.0</v>
      </c>
      <c r="Z16" s="2749">
        <f t="shared" si="12"/>
        <v>0.02848882603</v>
      </c>
      <c r="AA16" s="2848">
        <v>53378.0</v>
      </c>
      <c r="AB16" s="2749">
        <f t="shared" si="13"/>
        <v>0.03339512518</v>
      </c>
      <c r="AC16" s="2848">
        <v>149735.0</v>
      </c>
      <c r="AD16" s="2749">
        <f t="shared" si="14"/>
        <v>0.05072109074</v>
      </c>
      <c r="AE16" s="2848">
        <v>318783.0</v>
      </c>
      <c r="AF16" s="2749">
        <f t="shared" si="15"/>
        <v>0.02857740151</v>
      </c>
      <c r="AG16" s="2848">
        <v>274543.0</v>
      </c>
      <c r="AH16" s="2749">
        <f t="shared" si="16"/>
        <v>0.01864886528</v>
      </c>
      <c r="AI16" s="1006"/>
      <c r="AJ16" s="1006"/>
      <c r="AK16" s="1006"/>
      <c r="AL16" s="1006"/>
      <c r="AM16" s="1006"/>
      <c r="AN16" s="1006"/>
      <c r="AO16" s="1006"/>
      <c r="AP16" s="1006"/>
      <c r="AQ16" s="1006"/>
      <c r="AR16" s="1006"/>
      <c r="AS16" s="1006"/>
    </row>
    <row r="17">
      <c r="A17" s="1006">
        <v>12.0</v>
      </c>
      <c r="B17" s="1006" t="s">
        <v>1677</v>
      </c>
      <c r="C17" s="2848">
        <v>24364.0</v>
      </c>
      <c r="D17" s="2749">
        <f t="shared" si="1"/>
        <v>0.1691885698</v>
      </c>
      <c r="E17" s="2848">
        <v>23679.0</v>
      </c>
      <c r="F17" s="2749">
        <f t="shared" si="2"/>
        <v>0.1246000842</v>
      </c>
      <c r="G17" s="2848">
        <v>21718.0</v>
      </c>
      <c r="H17" s="2749">
        <f t="shared" si="3"/>
        <v>0.1146250066</v>
      </c>
      <c r="I17" s="2848">
        <v>19454.0</v>
      </c>
      <c r="J17" s="2749">
        <f t="shared" si="4"/>
        <v>0.07583843692</v>
      </c>
      <c r="K17" s="2848">
        <v>24415.0</v>
      </c>
      <c r="L17" s="2749">
        <f t="shared" si="5"/>
        <v>0.07754707932</v>
      </c>
      <c r="M17" s="2848">
        <v>54415.0</v>
      </c>
      <c r="N17" s="2749">
        <f t="shared" si="6"/>
        <v>0.1057690439</v>
      </c>
      <c r="O17" s="2848">
        <v>41705.0</v>
      </c>
      <c r="P17" s="2749">
        <f t="shared" si="7"/>
        <v>0.07219157381</v>
      </c>
      <c r="Q17" s="2848">
        <v>58954.0</v>
      </c>
      <c r="R17" s="2749">
        <f t="shared" si="8"/>
        <v>0.091296524</v>
      </c>
      <c r="S17" s="2848">
        <v>60816.0</v>
      </c>
      <c r="T17" s="2749">
        <f t="shared" si="9"/>
        <v>0.08814449575</v>
      </c>
      <c r="U17" s="2849">
        <v>60816.0</v>
      </c>
      <c r="V17" s="2749">
        <f t="shared" si="10"/>
        <v>0.07699865288</v>
      </c>
      <c r="W17" s="2848">
        <v>330173.0</v>
      </c>
      <c r="X17" s="2749">
        <f t="shared" si="11"/>
        <v>0.1300506577</v>
      </c>
      <c r="Y17" s="2848">
        <v>484350.0</v>
      </c>
      <c r="Z17" s="2749">
        <f t="shared" si="12"/>
        <v>0.1153648827</v>
      </c>
      <c r="AA17" s="2848">
        <v>182387.0</v>
      </c>
      <c r="AB17" s="2749">
        <f t="shared" si="13"/>
        <v>0.1141076229</v>
      </c>
      <c r="AC17" s="2848">
        <v>319435.0</v>
      </c>
      <c r="AD17" s="2749">
        <f t="shared" si="14"/>
        <v>0.1082051065</v>
      </c>
      <c r="AE17" s="2848">
        <v>1434073.0</v>
      </c>
      <c r="AF17" s="2749">
        <f t="shared" si="15"/>
        <v>0.1285579216</v>
      </c>
      <c r="AG17" s="2848">
        <v>1231955.0</v>
      </c>
      <c r="AH17" s="2749">
        <f t="shared" si="16"/>
        <v>0.08368293064</v>
      </c>
      <c r="AI17" s="1006"/>
      <c r="AJ17" s="1006"/>
      <c r="AK17" s="1006"/>
      <c r="AL17" s="1006"/>
      <c r="AM17" s="1006"/>
      <c r="AN17" s="1006"/>
      <c r="AO17" s="1006"/>
      <c r="AP17" s="1006"/>
      <c r="AQ17" s="1006"/>
      <c r="AR17" s="1006"/>
      <c r="AS17" s="1006"/>
    </row>
    <row r="18">
      <c r="A18" s="1006">
        <v>13.0</v>
      </c>
      <c r="B18" s="1006" t="s">
        <v>1683</v>
      </c>
      <c r="C18" s="2848">
        <v>5489.0</v>
      </c>
      <c r="D18" s="2749">
        <f t="shared" si="1"/>
        <v>0.03811673206</v>
      </c>
      <c r="E18" s="2848">
        <v>5184.0</v>
      </c>
      <c r="F18" s="2749">
        <f t="shared" si="2"/>
        <v>0.02727846769</v>
      </c>
      <c r="G18" s="2848">
        <v>3505.0</v>
      </c>
      <c r="H18" s="2749">
        <f t="shared" si="3"/>
        <v>0.01849897081</v>
      </c>
      <c r="I18" s="2848">
        <v>9612.0</v>
      </c>
      <c r="J18" s="2749">
        <f t="shared" si="4"/>
        <v>0.03747090859</v>
      </c>
      <c r="K18" s="2848">
        <v>6519.0</v>
      </c>
      <c r="L18" s="2749">
        <f t="shared" si="5"/>
        <v>0.02070568954</v>
      </c>
      <c r="M18" s="2848">
        <v>25670.0</v>
      </c>
      <c r="N18" s="2749">
        <f t="shared" si="6"/>
        <v>0.04989600949</v>
      </c>
      <c r="O18" s="2848">
        <v>33570.0</v>
      </c>
      <c r="P18" s="2749">
        <f t="shared" si="7"/>
        <v>0.05810984613</v>
      </c>
      <c r="Q18" s="2849">
        <v>33570.0</v>
      </c>
      <c r="R18" s="2749">
        <f t="shared" si="8"/>
        <v>0.05198670677</v>
      </c>
      <c r="S18" s="2849">
        <v>33570.0</v>
      </c>
      <c r="T18" s="2749">
        <f t="shared" si="9"/>
        <v>0.04865513553</v>
      </c>
      <c r="U18" s="2849">
        <v>33570.0</v>
      </c>
      <c r="V18" s="2749">
        <f t="shared" si="10"/>
        <v>0.04250270944</v>
      </c>
      <c r="W18" s="2848">
        <v>98051.0</v>
      </c>
      <c r="X18" s="2749">
        <f t="shared" si="11"/>
        <v>0.03862095641</v>
      </c>
      <c r="Y18" s="2848">
        <v>112594.0</v>
      </c>
      <c r="Z18" s="2749">
        <f t="shared" si="12"/>
        <v>0.02681819676</v>
      </c>
      <c r="AA18" s="2848">
        <v>54897.0</v>
      </c>
      <c r="AB18" s="2749">
        <f t="shared" si="13"/>
        <v>0.03434546418</v>
      </c>
      <c r="AC18" s="2848">
        <v>155353.0</v>
      </c>
      <c r="AD18" s="2749">
        <f t="shared" si="14"/>
        <v>0.05262412669</v>
      </c>
      <c r="AE18" s="2848">
        <v>742442.0</v>
      </c>
      <c r="AF18" s="2749">
        <f t="shared" si="15"/>
        <v>0.06655644477</v>
      </c>
      <c r="AG18" s="2848">
        <v>742442.0</v>
      </c>
      <c r="AH18" s="2749">
        <f t="shared" si="16"/>
        <v>0.05043181154</v>
      </c>
      <c r="AI18" s="1006"/>
      <c r="AJ18" s="1006"/>
      <c r="AK18" s="1006"/>
      <c r="AL18" s="1006"/>
      <c r="AM18" s="1006"/>
      <c r="AN18" s="1006"/>
      <c r="AO18" s="1006"/>
      <c r="AP18" s="1006"/>
      <c r="AQ18" s="1006"/>
      <c r="AR18" s="1006"/>
      <c r="AS18" s="1006"/>
    </row>
    <row r="19">
      <c r="A19" s="1006">
        <v>14.0</v>
      </c>
      <c r="B19" s="1006" t="s">
        <v>519</v>
      </c>
      <c r="C19" s="2848">
        <v>0.0</v>
      </c>
      <c r="D19" s="2749">
        <f t="shared" si="1"/>
        <v>0</v>
      </c>
      <c r="E19" s="2848">
        <v>0.0</v>
      </c>
      <c r="F19" s="2749">
        <f t="shared" si="2"/>
        <v>0</v>
      </c>
      <c r="G19" s="2848">
        <v>0.0</v>
      </c>
      <c r="H19" s="2749">
        <f t="shared" si="3"/>
        <v>0</v>
      </c>
      <c r="I19" s="2848">
        <v>0.0</v>
      </c>
      <c r="J19" s="2749">
        <f t="shared" si="4"/>
        <v>0</v>
      </c>
      <c r="K19" s="2848">
        <v>0.0</v>
      </c>
      <c r="L19" s="2749">
        <f t="shared" si="5"/>
        <v>0</v>
      </c>
      <c r="M19" s="2848">
        <v>0.0</v>
      </c>
      <c r="N19" s="2749">
        <f t="shared" si="6"/>
        <v>0</v>
      </c>
      <c r="O19" s="2848">
        <v>0.0</v>
      </c>
      <c r="P19" s="2749">
        <f t="shared" si="7"/>
        <v>0</v>
      </c>
      <c r="Q19" s="2848">
        <v>0.0</v>
      </c>
      <c r="R19" s="2749">
        <f t="shared" si="8"/>
        <v>0</v>
      </c>
      <c r="S19" s="2848">
        <v>0.0</v>
      </c>
      <c r="T19" s="2749">
        <f t="shared" si="9"/>
        <v>0</v>
      </c>
      <c r="U19" s="2848">
        <v>0.0</v>
      </c>
      <c r="V19" s="2749">
        <f t="shared" si="10"/>
        <v>0</v>
      </c>
      <c r="W19" s="2848">
        <v>171091.0</v>
      </c>
      <c r="X19" s="2749">
        <f t="shared" si="11"/>
        <v>0.06739041982</v>
      </c>
      <c r="Y19" s="2848">
        <v>262820.0</v>
      </c>
      <c r="Z19" s="2749">
        <f t="shared" si="12"/>
        <v>0.06259976972</v>
      </c>
      <c r="AA19" s="2848">
        <v>0.0</v>
      </c>
      <c r="AB19" s="2749">
        <f t="shared" si="13"/>
        <v>0</v>
      </c>
      <c r="AC19" s="2848">
        <v>0.0</v>
      </c>
      <c r="AD19" s="2749">
        <f t="shared" si="14"/>
        <v>0</v>
      </c>
      <c r="AE19" s="2848">
        <v>425899.0</v>
      </c>
      <c r="AF19" s="2749">
        <f t="shared" si="15"/>
        <v>0.03817984876</v>
      </c>
      <c r="AG19" s="2848">
        <v>828472.0</v>
      </c>
      <c r="AH19" s="2749">
        <f t="shared" si="16"/>
        <v>0.056275566</v>
      </c>
      <c r="AI19" s="1006"/>
      <c r="AJ19" s="1006"/>
      <c r="AK19" s="1006"/>
      <c r="AL19" s="1006"/>
      <c r="AM19" s="1006"/>
      <c r="AN19" s="1006"/>
      <c r="AO19" s="1006"/>
      <c r="AP19" s="1006"/>
      <c r="AQ19" s="1006"/>
      <c r="AR19" s="1006"/>
      <c r="AS19" s="1006"/>
    </row>
    <row r="20">
      <c r="A20" s="842"/>
      <c r="B20" s="2850" t="s">
        <v>1889</v>
      </c>
      <c r="C20" s="2851">
        <f>SUM(C6:C19)</f>
        <v>144005</v>
      </c>
      <c r="D20" s="2852"/>
      <c r="E20" s="2851">
        <f>SUM(E6:E19)</f>
        <v>190040</v>
      </c>
      <c r="F20" s="2852"/>
      <c r="G20" s="2851">
        <f>SUM(G6:G19)</f>
        <v>189470</v>
      </c>
      <c r="H20" s="2852"/>
      <c r="I20" s="2851">
        <f>SUM(I6:I19)</f>
        <v>256519</v>
      </c>
      <c r="J20" s="2852"/>
      <c r="K20" s="2851">
        <f>SUM(K6:K19)</f>
        <v>314841</v>
      </c>
      <c r="L20" s="2852"/>
      <c r="M20" s="2851">
        <f>SUM(M6:M19)</f>
        <v>514470</v>
      </c>
      <c r="N20" s="2852"/>
      <c r="O20" s="2851">
        <f>SUM(O6:O19)</f>
        <v>577699</v>
      </c>
      <c r="P20" s="2852"/>
      <c r="Q20" s="2851">
        <f>SUM(Q6:Q19)</f>
        <v>645742</v>
      </c>
      <c r="R20" s="2852"/>
      <c r="S20" s="2851">
        <f>SUM(S6:S19)</f>
        <v>689958</v>
      </c>
      <c r="T20" s="2852"/>
      <c r="U20" s="2851">
        <f>SUM(U6:U19)</f>
        <v>789832</v>
      </c>
      <c r="V20" s="2852"/>
      <c r="W20" s="2851">
        <f>SUM(W6:W19)</f>
        <v>2538803</v>
      </c>
      <c r="X20" s="2852"/>
      <c r="Y20" s="2851">
        <f>SUM(Y6:Y19)</f>
        <v>4198418</v>
      </c>
      <c r="Z20" s="2852"/>
      <c r="AA20" s="2851">
        <f>SUM(AA6:AA19)</f>
        <v>1598377</v>
      </c>
      <c r="AB20" s="2749"/>
      <c r="AC20" s="2851">
        <f>SUM(AC6:AC19)</f>
        <v>2952125</v>
      </c>
      <c r="AD20" s="2749"/>
      <c r="AE20" s="2851">
        <f>SUM(AE6:AE19)</f>
        <v>11155073</v>
      </c>
      <c r="AF20" s="2749"/>
      <c r="AG20" s="2851">
        <f>SUM(AG6:AG19)</f>
        <v>14721700</v>
      </c>
      <c r="AH20" s="2749"/>
      <c r="AI20" s="842"/>
      <c r="AJ20" s="842"/>
      <c r="AK20" s="842"/>
      <c r="AL20" s="842"/>
      <c r="AM20" s="842"/>
      <c r="AN20" s="842"/>
      <c r="AO20" s="842"/>
      <c r="AP20" s="842"/>
      <c r="AQ20" s="842"/>
      <c r="AR20" s="842"/>
      <c r="AS20" s="842"/>
    </row>
    <row r="21">
      <c r="A21" s="1006"/>
      <c r="B21" s="1006" t="s">
        <v>1890</v>
      </c>
      <c r="C21" s="2853">
        <f>C20*D21</f>
        <v>17280.6</v>
      </c>
      <c r="D21" s="2588">
        <v>0.12</v>
      </c>
      <c r="E21" s="2853">
        <f>E20*F21</f>
        <v>22804.8</v>
      </c>
      <c r="F21" s="2588">
        <v>0.12</v>
      </c>
      <c r="G21" s="2853">
        <f>G20*H21</f>
        <v>22736.4</v>
      </c>
      <c r="H21" s="2588">
        <v>0.12</v>
      </c>
      <c r="I21" s="2853">
        <f>I20*J21</f>
        <v>64129.75</v>
      </c>
      <c r="J21" s="2588">
        <v>0.25</v>
      </c>
      <c r="K21" s="2853">
        <f>K20*L21</f>
        <v>75561.84</v>
      </c>
      <c r="L21" s="2588">
        <v>0.24</v>
      </c>
      <c r="M21" s="2853">
        <f>M20*N21</f>
        <v>123472.8</v>
      </c>
      <c r="N21" s="2588">
        <v>0.24</v>
      </c>
      <c r="O21" s="2853">
        <f>O20*P21</f>
        <v>138647.76</v>
      </c>
      <c r="P21" s="2588">
        <v>0.24</v>
      </c>
      <c r="Q21" s="2853">
        <f>Q20*R21</f>
        <v>154978.08</v>
      </c>
      <c r="R21" s="2588">
        <v>0.24</v>
      </c>
      <c r="S21" s="2853">
        <f>S20*T21</f>
        <v>158690.34</v>
      </c>
      <c r="T21" s="2588">
        <v>0.23</v>
      </c>
      <c r="U21" s="2853">
        <f>U20*V21</f>
        <v>173763.04</v>
      </c>
      <c r="V21" s="2588">
        <v>0.22</v>
      </c>
      <c r="W21" s="2853">
        <f>W20*X21</f>
        <v>558536.66</v>
      </c>
      <c r="X21" s="2588">
        <v>0.22</v>
      </c>
      <c r="Y21" s="2853">
        <f>Y20*Z21</f>
        <v>923651.96</v>
      </c>
      <c r="Z21" s="2588">
        <v>0.22</v>
      </c>
      <c r="AA21" s="2853">
        <f>AA20*AB21</f>
        <v>159837.7</v>
      </c>
      <c r="AB21" s="2749">
        <v>0.1</v>
      </c>
      <c r="AC21" s="2853">
        <f>AC20*AD21</f>
        <v>649467.5</v>
      </c>
      <c r="AD21" s="2749">
        <v>0.22</v>
      </c>
      <c r="AE21" s="2853">
        <f>AE20*AF21</f>
        <v>2342565.33</v>
      </c>
      <c r="AF21" s="2749">
        <v>0.21</v>
      </c>
      <c r="AG21" s="2853">
        <f>AG20*AH21</f>
        <v>3091557</v>
      </c>
      <c r="AH21" s="2749">
        <v>0.21</v>
      </c>
      <c r="AI21" s="1006"/>
      <c r="AJ21" s="1006"/>
      <c r="AK21" s="1006"/>
      <c r="AL21" s="1006"/>
      <c r="AM21" s="1006"/>
      <c r="AN21" s="1006"/>
      <c r="AO21" s="1006"/>
      <c r="AP21" s="1006"/>
      <c r="AQ21" s="1006"/>
      <c r="AR21" s="1006"/>
      <c r="AS21" s="1006"/>
    </row>
    <row r="22">
      <c r="A22" s="1006"/>
      <c r="B22" s="1006" t="s">
        <v>1891</v>
      </c>
      <c r="C22" s="2848">
        <f>(C20+C21)*D22</f>
        <v>4838.568</v>
      </c>
      <c r="D22" s="2749">
        <v>0.03</v>
      </c>
      <c r="E22" s="2848">
        <f>(E20+E21)*F22</f>
        <v>6385.344</v>
      </c>
      <c r="F22" s="2749">
        <v>0.03</v>
      </c>
      <c r="G22" s="2848">
        <f>(G20+G21)*H22</f>
        <v>6790.6048</v>
      </c>
      <c r="H22" s="2749">
        <v>0.032</v>
      </c>
      <c r="I22" s="2848">
        <f>(I20+I21)*J22</f>
        <v>12825.95</v>
      </c>
      <c r="J22" s="2749">
        <v>0.04</v>
      </c>
      <c r="K22" s="2848">
        <f>(K20+K21)*L22</f>
        <v>15616.1136</v>
      </c>
      <c r="L22" s="2749">
        <v>0.04</v>
      </c>
      <c r="M22" s="2848">
        <f>(M20+M21)*N22</f>
        <v>25517.712</v>
      </c>
      <c r="N22" s="2749">
        <v>0.04</v>
      </c>
      <c r="O22" s="2848">
        <f>(O20+O21)*P22</f>
        <v>32235.6042</v>
      </c>
      <c r="P22" s="2749">
        <v>0.045</v>
      </c>
      <c r="Q22" s="2848">
        <f>(Q20+Q21)*R22</f>
        <v>36032.4036</v>
      </c>
      <c r="R22" s="2749">
        <v>0.045</v>
      </c>
      <c r="S22" s="2848">
        <f>(S20+S21)*T22</f>
        <v>38189.1753</v>
      </c>
      <c r="T22" s="2749">
        <v>0.045</v>
      </c>
      <c r="U22" s="2848">
        <f>(U20+U21)*V22</f>
        <v>38543.8016</v>
      </c>
      <c r="V22" s="2749">
        <v>0.04</v>
      </c>
      <c r="W22" s="2848">
        <f>(W20+W21)*X22</f>
        <v>139380.2847</v>
      </c>
      <c r="X22" s="2749">
        <v>0.045</v>
      </c>
      <c r="Y22" s="2848">
        <f>(Y20+Y21)*Z22</f>
        <v>230493.1482</v>
      </c>
      <c r="Z22" s="2749">
        <v>0.045</v>
      </c>
      <c r="AA22" s="2848">
        <f>(AA20+AA21)*AB22</f>
        <v>52746.441</v>
      </c>
      <c r="AB22" s="2749">
        <v>0.03</v>
      </c>
      <c r="AC22" s="2848">
        <f>(AC20+AC21)*AD22</f>
        <v>126055.7375</v>
      </c>
      <c r="AD22" s="2749">
        <v>0.035</v>
      </c>
      <c r="AE22" s="2848">
        <f>(AE20+AE21)*AF22</f>
        <v>674881.9165</v>
      </c>
      <c r="AF22" s="2749">
        <v>0.05</v>
      </c>
      <c r="AG22" s="2848">
        <f>(AG20+AG21)*AH22</f>
        <v>1068795.42</v>
      </c>
      <c r="AH22" s="2749">
        <v>0.06</v>
      </c>
      <c r="AI22" s="1006"/>
      <c r="AJ22" s="1006"/>
      <c r="AK22" s="1006"/>
      <c r="AL22" s="1006"/>
      <c r="AM22" s="1006"/>
      <c r="AN22" s="1006"/>
      <c r="AO22" s="1006"/>
      <c r="AP22" s="1006"/>
      <c r="AQ22" s="1006"/>
      <c r="AR22" s="1006"/>
      <c r="AS22" s="1006"/>
    </row>
    <row r="23">
      <c r="A23" s="1006"/>
      <c r="B23" s="1006" t="s">
        <v>1892</v>
      </c>
      <c r="C23" s="2848">
        <f>C20*D23</f>
        <v>5760.2</v>
      </c>
      <c r="D23" s="2588">
        <v>0.04</v>
      </c>
      <c r="E23" s="2848">
        <f>E20*F23</f>
        <v>7601.6</v>
      </c>
      <c r="F23" s="2588">
        <v>0.04</v>
      </c>
      <c r="G23" s="2848">
        <f>G20*H23</f>
        <v>7578.8</v>
      </c>
      <c r="H23" s="2588">
        <v>0.04</v>
      </c>
      <c r="I23" s="2848">
        <f>I20*J23</f>
        <v>0</v>
      </c>
      <c r="J23" s="2588">
        <v>0.0</v>
      </c>
      <c r="K23" s="2848">
        <f>K20*L23</f>
        <v>0</v>
      </c>
      <c r="L23" s="2588">
        <v>0.0</v>
      </c>
      <c r="M23" s="2848">
        <f>M20*N23</f>
        <v>0</v>
      </c>
      <c r="N23" s="2588">
        <v>0.0</v>
      </c>
      <c r="O23" s="2848">
        <f>O20*P23</f>
        <v>0</v>
      </c>
      <c r="P23" s="2588">
        <v>0.0</v>
      </c>
      <c r="Q23" s="2848">
        <f>Q20*R23</f>
        <v>0</v>
      </c>
      <c r="R23" s="2588">
        <v>0.0</v>
      </c>
      <c r="S23" s="2848">
        <f>S20*T23</f>
        <v>0</v>
      </c>
      <c r="T23" s="2588">
        <v>0.0</v>
      </c>
      <c r="U23" s="2848">
        <f>U20*V23</f>
        <v>0</v>
      </c>
      <c r="V23" s="2588">
        <v>0.0</v>
      </c>
      <c r="W23" s="2848">
        <f>W20*X23</f>
        <v>0</v>
      </c>
      <c r="X23" s="2588">
        <v>0.0</v>
      </c>
      <c r="Y23" s="2848">
        <f>Y20*Z23</f>
        <v>0</v>
      </c>
      <c r="Z23" s="2588">
        <v>0.0</v>
      </c>
      <c r="AA23" s="2848">
        <f>AA20*AB23</f>
        <v>-63935.08</v>
      </c>
      <c r="AB23" s="2749">
        <v>-0.04</v>
      </c>
      <c r="AC23" s="2848">
        <f>AC20*AD23</f>
        <v>0</v>
      </c>
      <c r="AD23" s="2749">
        <v>0.0</v>
      </c>
      <c r="AE23" s="2848">
        <f>AE20*AF23</f>
        <v>0</v>
      </c>
      <c r="AF23" s="2749">
        <v>0.0</v>
      </c>
      <c r="AG23" s="2848">
        <f>AG20*AH23</f>
        <v>0</v>
      </c>
      <c r="AH23" s="2749">
        <v>0.0</v>
      </c>
      <c r="AI23" s="1006"/>
      <c r="AJ23" s="1006"/>
      <c r="AK23" s="1006"/>
      <c r="AL23" s="1006"/>
      <c r="AM23" s="1006"/>
      <c r="AN23" s="1006"/>
      <c r="AO23" s="1006"/>
      <c r="AP23" s="1006"/>
      <c r="AQ23" s="1006"/>
      <c r="AR23" s="1006"/>
      <c r="AS23" s="1006"/>
    </row>
    <row r="24">
      <c r="A24" s="1006"/>
      <c r="B24" s="1006" t="s">
        <v>1893</v>
      </c>
      <c r="C24" s="2848">
        <f>(C20*0.68636)*D24</f>
        <v>15814.28349</v>
      </c>
      <c r="D24" s="2588">
        <v>0.16</v>
      </c>
      <c r="E24" s="2848">
        <f>(E20*0.68636)*F24</f>
        <v>20869.7367</v>
      </c>
      <c r="F24" s="2588">
        <v>0.16</v>
      </c>
      <c r="G24" s="2848">
        <f>(G20*0.68636)*H24</f>
        <v>20807.14067</v>
      </c>
      <c r="H24" s="2588">
        <v>0.16</v>
      </c>
      <c r="I24" s="2848">
        <f>(I20*0.68636)*J24</f>
        <v>28170.30093</v>
      </c>
      <c r="J24" s="2588">
        <v>0.16</v>
      </c>
      <c r="K24" s="2848">
        <f>(K20*0.68636)*L24</f>
        <v>34575.083</v>
      </c>
      <c r="L24" s="2588">
        <v>0.16</v>
      </c>
      <c r="M24" s="2848">
        <f>(M20*0.68636)*N24</f>
        <v>56497.86067</v>
      </c>
      <c r="N24" s="2588">
        <v>0.16</v>
      </c>
      <c r="O24" s="2848">
        <f>(O20*0.68636)*P24</f>
        <v>63441.5177</v>
      </c>
      <c r="P24" s="2588">
        <v>0.16</v>
      </c>
      <c r="Q24" s="2848">
        <f>(Q20*0.68636)*R24</f>
        <v>70913.83666</v>
      </c>
      <c r="R24" s="2588">
        <v>0.16</v>
      </c>
      <c r="S24" s="2848">
        <f>(S20*0.68636)*T24</f>
        <v>75769.53166</v>
      </c>
      <c r="T24" s="2588">
        <v>0.16</v>
      </c>
      <c r="U24" s="2848">
        <f>(U20*0.68636)*V24</f>
        <v>86737.45464</v>
      </c>
      <c r="V24" s="2588">
        <v>0.16</v>
      </c>
      <c r="W24" s="2848">
        <f>(W20*0.68636)*X24</f>
        <v>278805.2523</v>
      </c>
      <c r="X24" s="2588">
        <v>0.16</v>
      </c>
      <c r="Y24" s="2848">
        <f>(Y20*0.68636)*Z24</f>
        <v>461060.1886</v>
      </c>
      <c r="Z24" s="2588">
        <v>0.16</v>
      </c>
      <c r="AA24" s="2848">
        <f>(AA20*0.68636)*AB24</f>
        <v>175529.926</v>
      </c>
      <c r="AB24" s="2749">
        <v>0.16</v>
      </c>
      <c r="AC24" s="2848">
        <f>(AC20*0.68636)*AD24</f>
        <v>324195.2824</v>
      </c>
      <c r="AD24" s="2749">
        <v>0.16</v>
      </c>
      <c r="AE24" s="2848">
        <f>(AE20*0.68636)*AF24</f>
        <v>1225023.345</v>
      </c>
      <c r="AF24" s="2749">
        <v>0.16</v>
      </c>
      <c r="AG24" s="2848">
        <f>(AG20*0.68636)*AH24</f>
        <v>1616701.762</v>
      </c>
      <c r="AH24" s="2749">
        <v>0.16</v>
      </c>
      <c r="AI24" s="1006"/>
      <c r="AJ24" s="1006"/>
      <c r="AK24" s="1006"/>
      <c r="AL24" s="1006"/>
      <c r="AM24" s="1006"/>
      <c r="AN24" s="1006"/>
      <c r="AO24" s="1006"/>
      <c r="AP24" s="1006"/>
      <c r="AQ24" s="1006"/>
      <c r="AR24" s="1006"/>
      <c r="AS24" s="1006"/>
    </row>
    <row r="25">
      <c r="A25" s="1006"/>
      <c r="B25" s="1006" t="s">
        <v>1894</v>
      </c>
      <c r="C25" s="1006">
        <v>41.96</v>
      </c>
      <c r="D25" s="1006"/>
      <c r="E25" s="1006">
        <v>46.86</v>
      </c>
      <c r="F25" s="1006"/>
      <c r="G25" s="1006">
        <v>50.27</v>
      </c>
      <c r="H25" s="1006"/>
      <c r="I25" s="1006">
        <v>59.9</v>
      </c>
      <c r="J25" s="1006"/>
      <c r="K25" s="1006">
        <v>69.62</v>
      </c>
      <c r="L25" s="1006"/>
      <c r="M25" s="1006">
        <v>90.56</v>
      </c>
      <c r="N25" s="1006"/>
      <c r="O25" s="1006">
        <v>101.16</v>
      </c>
      <c r="P25" s="1006"/>
      <c r="Q25" s="1006">
        <v>122.24</v>
      </c>
      <c r="R25" s="1006"/>
      <c r="S25" s="1006">
        <v>152.18</v>
      </c>
      <c r="T25" s="1006"/>
      <c r="U25" s="1006">
        <v>200.82</v>
      </c>
      <c r="V25" s="1006"/>
      <c r="W25" s="2740">
        <v>447.04</v>
      </c>
      <c r="X25" s="1006"/>
      <c r="Y25" s="1006">
        <v>691.56</v>
      </c>
      <c r="Z25" s="1006"/>
      <c r="AA25" s="1006">
        <v>451.96</v>
      </c>
      <c r="AB25" s="1006"/>
      <c r="AC25" s="1006">
        <v>729.44</v>
      </c>
      <c r="AD25" s="2749"/>
      <c r="AE25" s="2854">
        <v>1888.56</v>
      </c>
      <c r="AF25" s="1006"/>
      <c r="AG25" s="2854">
        <v>2217.48</v>
      </c>
      <c r="AH25" s="1006"/>
      <c r="AI25" s="1006"/>
      <c r="AJ25" s="1006"/>
      <c r="AK25" s="1006"/>
      <c r="AL25" s="1006"/>
      <c r="AM25" s="1006"/>
      <c r="AN25" s="1006"/>
      <c r="AO25" s="1006"/>
      <c r="AP25" s="1006"/>
      <c r="AQ25" s="1006"/>
      <c r="AR25" s="1006"/>
      <c r="AS25" s="1006"/>
    </row>
    <row r="26">
      <c r="A26" s="1006"/>
      <c r="B26" s="1006" t="s">
        <v>1895</v>
      </c>
      <c r="C26" s="2855">
        <f>(C20+C21+C22-C23+C24)/C25</f>
        <v>4198.719054</v>
      </c>
      <c r="D26" s="1006"/>
      <c r="E26" s="2855">
        <f>(E20+E21+E22-E23+E24)/E25</f>
        <v>4961.551018</v>
      </c>
      <c r="F26" s="1006"/>
      <c r="G26" s="2855">
        <f>(G20+G21+G22-G23+G24)/G25</f>
        <v>4619.561279</v>
      </c>
      <c r="H26" s="1006"/>
      <c r="I26" s="2855">
        <f>(I20+I21+I22-I23+I24)/I25</f>
        <v>6037.479147</v>
      </c>
      <c r="J26" s="1006"/>
      <c r="K26" s="2855">
        <f>(K20+K21+K22-K23+K24)/K25</f>
        <v>6328.555539</v>
      </c>
      <c r="L26" s="1006"/>
      <c r="M26" s="2855">
        <f>(M20+M21+M22-M23+M24)/M25</f>
        <v>7950.07037</v>
      </c>
      <c r="N26" s="1006"/>
      <c r="O26" s="2855">
        <f>(O20+O21+O22-O23+O24)/O25</f>
        <v>8027.124179</v>
      </c>
      <c r="P26" s="1006"/>
      <c r="Q26" s="2855">
        <f>(Q20+Q21+Q22-Q23+Q24)/Q25</f>
        <v>7425.280761</v>
      </c>
      <c r="R26" s="1006"/>
      <c r="S26" s="2855">
        <f>(S20+S21+S22-S23+S24)/S25</f>
        <v>6325.450433</v>
      </c>
      <c r="T26" s="1006"/>
      <c r="U26" s="2855">
        <f>(U20+U21+U22-U23+U24)/U25</f>
        <v>5422.150663</v>
      </c>
      <c r="V26" s="1006"/>
      <c r="W26" s="2855">
        <f>(W20+W21+W22-W23+W24)/W25</f>
        <v>7864.005899</v>
      </c>
      <c r="X26" s="1006"/>
      <c r="Y26" s="2855">
        <f>(Y20+Y21+Y22-Y23+Y24)/Y25</f>
        <v>8406.534931</v>
      </c>
      <c r="Z26" s="1006"/>
      <c r="AA26" s="2855">
        <f>(AA20+AA21+AA22-AA23+AA24)/AA25</f>
        <v>4536.742515</v>
      </c>
      <c r="AB26" s="1006"/>
      <c r="AC26" s="2855">
        <f>(AC20+AC21+AC22-AC23+AC24)/AC25</f>
        <v>5554.731739</v>
      </c>
      <c r="AD26" s="2749"/>
      <c r="AE26" s="2855">
        <f>(AE20+AE21+AE22-AE23+AE24)/AE25</f>
        <v>8153.060316</v>
      </c>
      <c r="AF26" s="1006"/>
      <c r="AG26" s="2855">
        <f>(AG20+AG21+AG22-AG23+AG24)/AG25</f>
        <v>9244.166433</v>
      </c>
      <c r="AH26" s="1006"/>
      <c r="AI26" s="1006"/>
      <c r="AJ26" s="1006"/>
      <c r="AK26" s="1006"/>
      <c r="AL26" s="1006"/>
      <c r="AM26" s="1006"/>
      <c r="AN26" s="1006"/>
      <c r="AO26" s="1006"/>
      <c r="AP26" s="1006"/>
      <c r="AQ26" s="1006"/>
      <c r="AR26" s="1006"/>
      <c r="AS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2740"/>
      <c r="X27" s="1006"/>
      <c r="Y27" s="1006"/>
      <c r="Z27" s="1006"/>
      <c r="AA27" s="1006"/>
      <c r="AB27" s="1006"/>
      <c r="AC27" s="1006"/>
      <c r="AD27" s="1006"/>
      <c r="AE27" s="1006"/>
      <c r="AF27" s="1006"/>
      <c r="AG27" s="1006"/>
      <c r="AH27" s="1006"/>
      <c r="AI27" s="1006"/>
      <c r="AJ27" s="1006"/>
      <c r="AK27" s="1006"/>
      <c r="AL27" s="1006"/>
      <c r="AM27" s="1006"/>
      <c r="AN27" s="1006"/>
      <c r="AO27" s="1006"/>
      <c r="AP27" s="1006"/>
      <c r="AQ27" s="1006"/>
      <c r="AR27" s="1006"/>
      <c r="AS27" s="1006"/>
    </row>
    <row r="28">
      <c r="A28" s="1006"/>
      <c r="B28" s="1006"/>
      <c r="C28" s="1006"/>
      <c r="D28" s="1006"/>
      <c r="E28" s="1006"/>
      <c r="F28" s="1006"/>
      <c r="G28" s="1006"/>
      <c r="H28" s="1006"/>
      <c r="I28" s="1006"/>
      <c r="J28" s="1006"/>
      <c r="K28" s="1006"/>
      <c r="L28" s="1006"/>
      <c r="M28" s="1006"/>
      <c r="N28" s="1006"/>
      <c r="O28" s="1006"/>
      <c r="P28" s="1006"/>
      <c r="Q28" s="1006"/>
      <c r="R28" s="1006"/>
      <c r="S28" s="1006"/>
      <c r="T28" s="1006"/>
      <c r="U28" s="1006"/>
      <c r="V28" s="1006"/>
      <c r="W28" s="1006"/>
      <c r="X28" s="1006"/>
      <c r="Y28" s="1006"/>
      <c r="Z28" s="1006"/>
      <c r="AA28" s="1006"/>
      <c r="AB28" s="1006"/>
      <c r="AC28" s="1006"/>
      <c r="AD28" s="1006"/>
      <c r="AE28" s="1006"/>
      <c r="AF28" s="1006"/>
      <c r="AG28" s="1006"/>
      <c r="AH28" s="1006"/>
      <c r="AI28" s="1006"/>
      <c r="AJ28" s="1006"/>
      <c r="AK28" s="1006"/>
      <c r="AL28" s="1006"/>
      <c r="AM28" s="1006"/>
      <c r="AN28" s="1006"/>
      <c r="AO28" s="1006"/>
      <c r="AP28" s="1006"/>
      <c r="AQ28" s="1006"/>
      <c r="AR28" s="1006"/>
      <c r="AS28" s="1006"/>
    </row>
    <row r="29">
      <c r="A29" s="1006"/>
      <c r="B29" s="1006"/>
      <c r="C29" s="1006" t="s">
        <v>1896</v>
      </c>
      <c r="D29" s="1006"/>
      <c r="E29" s="1006" t="s">
        <v>1897</v>
      </c>
      <c r="F29" s="1006"/>
      <c r="G29" s="1006" t="s">
        <v>1898</v>
      </c>
      <c r="H29" s="1006"/>
      <c r="I29" s="1006" t="s">
        <v>1899</v>
      </c>
      <c r="J29" s="1006"/>
      <c r="K29" s="1006" t="s">
        <v>1900</v>
      </c>
      <c r="L29" s="1006"/>
      <c r="M29" s="1006" t="s">
        <v>1901</v>
      </c>
      <c r="N29" s="1006"/>
      <c r="O29" s="1006" t="s">
        <v>1902</v>
      </c>
      <c r="P29" s="1006"/>
      <c r="Q29" s="1006" t="s">
        <v>1903</v>
      </c>
      <c r="R29" s="1006"/>
      <c r="S29" s="1006" t="s">
        <v>1904</v>
      </c>
      <c r="T29" s="1006"/>
      <c r="U29" s="1006" t="s">
        <v>1905</v>
      </c>
      <c r="V29" s="1006"/>
      <c r="W29" s="1006" t="s">
        <v>1906</v>
      </c>
      <c r="X29" s="1006"/>
      <c r="Y29" s="1006" t="s">
        <v>1907</v>
      </c>
      <c r="Z29" s="1006"/>
      <c r="AA29" s="1006" t="s">
        <v>1908</v>
      </c>
      <c r="AB29" s="1006"/>
      <c r="AC29" s="1006" t="s">
        <v>1909</v>
      </c>
      <c r="AD29" s="1006"/>
      <c r="AE29" s="1006" t="s">
        <v>1910</v>
      </c>
      <c r="AF29" s="1006"/>
      <c r="AG29" s="1006" t="s">
        <v>1911</v>
      </c>
      <c r="AH29" s="1006"/>
      <c r="AI29" s="1006"/>
      <c r="AJ29" s="1006"/>
      <c r="AK29" s="1006"/>
      <c r="AL29" s="1006"/>
      <c r="AM29" s="1006"/>
      <c r="AN29" s="1006"/>
      <c r="AO29" s="1006"/>
      <c r="AP29" s="1006"/>
      <c r="AQ29" s="1006"/>
      <c r="AR29" s="1006"/>
      <c r="AS29" s="1006"/>
    </row>
    <row r="30">
      <c r="A30" s="1006"/>
      <c r="B30" s="1006"/>
      <c r="C30" s="1006"/>
      <c r="D30" s="1006"/>
      <c r="E30" s="1006"/>
      <c r="F30" s="1006"/>
      <c r="G30" s="1006"/>
      <c r="H30" s="1006"/>
      <c r="I30" s="1006"/>
      <c r="J30" s="1006"/>
      <c r="K30" s="1006"/>
      <c r="L30" s="1006"/>
      <c r="M30" s="1006"/>
      <c r="N30" s="1006"/>
      <c r="O30" s="1006"/>
      <c r="P30" s="1006"/>
      <c r="Q30" s="1006"/>
      <c r="R30" s="1006"/>
      <c r="S30" s="1006"/>
      <c r="T30" s="1006"/>
      <c r="U30" s="1006"/>
      <c r="V30" s="1006"/>
      <c r="W30" s="1006"/>
      <c r="X30" s="1006"/>
      <c r="Y30" s="1006"/>
      <c r="Z30" s="1006"/>
      <c r="AA30" s="1006"/>
      <c r="AB30" s="1006"/>
      <c r="AC30" s="1006"/>
      <c r="AD30" s="1006"/>
      <c r="AE30" s="1006"/>
      <c r="AF30" s="1006"/>
      <c r="AG30" s="1006"/>
      <c r="AH30" s="1006"/>
      <c r="AI30" s="1006"/>
      <c r="AJ30" s="1006"/>
      <c r="AK30" s="1006"/>
      <c r="AL30" s="1006"/>
      <c r="AM30" s="1006"/>
      <c r="AN30" s="1006"/>
      <c r="AO30" s="1006"/>
      <c r="AP30" s="1006"/>
      <c r="AQ30" s="1006"/>
      <c r="AR30" s="1006"/>
      <c r="AS30" s="1006"/>
    </row>
    <row r="31">
      <c r="A31" s="1006"/>
      <c r="B31" s="1006"/>
      <c r="C31" s="1006"/>
      <c r="D31" s="1006"/>
      <c r="E31" s="1006"/>
      <c r="F31" s="1006"/>
      <c r="G31" s="1006"/>
      <c r="H31" s="1006"/>
      <c r="I31" s="1006"/>
      <c r="J31" s="1006"/>
      <c r="K31" s="1006"/>
      <c r="L31" s="1006"/>
      <c r="M31" s="1006"/>
      <c r="N31" s="1006"/>
      <c r="O31" s="1006"/>
      <c r="P31" s="1006"/>
      <c r="Q31" s="1006"/>
      <c r="R31" s="1006"/>
      <c r="S31" s="1006"/>
      <c r="T31" s="1006"/>
      <c r="U31" s="1006"/>
      <c r="V31" s="1006"/>
      <c r="W31" s="1006"/>
      <c r="X31" s="1006"/>
      <c r="Y31" s="1006"/>
      <c r="Z31" s="1006"/>
      <c r="AA31" s="1006"/>
      <c r="AB31" s="1006"/>
      <c r="AC31" s="1006"/>
      <c r="AD31" s="1006"/>
      <c r="AE31" s="1006"/>
      <c r="AF31" s="1006"/>
      <c r="AG31" s="1006"/>
      <c r="AH31" s="1006"/>
      <c r="AI31" s="1006"/>
      <c r="AJ31" s="1006"/>
      <c r="AK31" s="1006"/>
      <c r="AL31" s="1006"/>
      <c r="AM31" s="1006"/>
      <c r="AN31" s="1006"/>
      <c r="AO31" s="1006"/>
      <c r="AP31" s="1006"/>
      <c r="AQ31" s="1006"/>
      <c r="AR31" s="1006"/>
      <c r="AS31" s="1006"/>
    </row>
    <row r="32">
      <c r="A32" s="1006"/>
      <c r="B32" s="1006" t="s">
        <v>1912</v>
      </c>
      <c r="C32" s="1006"/>
      <c r="D32" s="1006"/>
      <c r="E32" s="1006"/>
      <c r="F32" s="1006"/>
      <c r="G32" s="1006"/>
      <c r="H32" s="1006"/>
      <c r="I32" s="1006"/>
      <c r="J32" s="1006"/>
      <c r="K32" s="1006"/>
      <c r="L32" s="1006"/>
      <c r="M32" s="1006"/>
      <c r="N32" s="1006"/>
      <c r="O32" s="1006"/>
      <c r="P32" s="1006"/>
      <c r="Q32" s="1006"/>
      <c r="R32" s="1006"/>
      <c r="S32" s="1006"/>
      <c r="T32" s="1006"/>
      <c r="U32" s="1006"/>
      <c r="V32" s="1006"/>
      <c r="W32" s="1006"/>
      <c r="X32" s="1006"/>
      <c r="Y32" s="1006"/>
      <c r="Z32" s="1006"/>
      <c r="AA32" s="1006"/>
      <c r="AB32" s="1006"/>
      <c r="AC32" s="1006"/>
      <c r="AD32" s="1006"/>
      <c r="AE32" s="1006"/>
      <c r="AF32" s="1006"/>
      <c r="AG32" s="1006"/>
      <c r="AH32" s="1006"/>
      <c r="AI32" s="1006"/>
      <c r="AJ32" s="1006"/>
      <c r="AK32" s="1006"/>
      <c r="AL32" s="1006"/>
      <c r="AM32" s="1006"/>
      <c r="AN32" s="1006"/>
      <c r="AO32" s="1006"/>
      <c r="AP32" s="1006"/>
      <c r="AQ32" s="1006"/>
      <c r="AR32" s="1006"/>
      <c r="AS32" s="1006"/>
    </row>
    <row r="33">
      <c r="A33" s="1006"/>
      <c r="B33" s="2856" t="s">
        <v>1913</v>
      </c>
      <c r="C33" s="1006" t="s">
        <v>1913</v>
      </c>
      <c r="D33" s="1006"/>
      <c r="E33" s="1006"/>
      <c r="F33" s="1006"/>
      <c r="G33" s="1006"/>
      <c r="H33" s="1006"/>
      <c r="I33" s="1006"/>
      <c r="J33" s="1006"/>
      <c r="K33" s="1006"/>
      <c r="L33" s="1006"/>
      <c r="M33" s="1006"/>
      <c r="N33" s="1006"/>
      <c r="O33" s="1006"/>
      <c r="P33" s="1006"/>
      <c r="Q33" s="1006"/>
      <c r="R33" s="1006"/>
      <c r="S33" s="1006"/>
      <c r="T33" s="1006"/>
      <c r="U33" s="1006"/>
      <c r="V33" s="1006"/>
      <c r="W33" s="1006"/>
      <c r="X33" s="1006"/>
      <c r="Y33" s="1006"/>
      <c r="Z33" s="1006"/>
      <c r="AA33" s="1006"/>
      <c r="AB33" s="1006"/>
      <c r="AC33" s="1006"/>
      <c r="AD33" s="1006"/>
      <c r="AE33" s="1006"/>
      <c r="AF33" s="1006"/>
      <c r="AG33" s="1006"/>
      <c r="AH33" s="1006"/>
      <c r="AI33" s="1006"/>
      <c r="AJ33" s="1006"/>
      <c r="AK33" s="1006"/>
      <c r="AL33" s="1006"/>
      <c r="AM33" s="1006"/>
      <c r="AN33" s="1006"/>
      <c r="AO33" s="1006"/>
      <c r="AP33" s="1006"/>
      <c r="AQ33" s="1006"/>
      <c r="AR33" s="1006"/>
      <c r="AS33" s="1006"/>
    </row>
    <row r="34">
      <c r="A34" s="1006"/>
      <c r="B34" s="1006" t="s">
        <v>1914</v>
      </c>
      <c r="C34" s="2848" t="str">
        <f>C26*$C$33</f>
        <v>#VALUE!</v>
      </c>
      <c r="D34" s="2848"/>
      <c r="E34" s="2848" t="str">
        <f>E26*$C$33</f>
        <v>#VALUE!</v>
      </c>
      <c r="F34" s="2848"/>
      <c r="G34" s="2848" t="str">
        <f>G26*$C$33</f>
        <v>#VALUE!</v>
      </c>
      <c r="H34" s="2848"/>
      <c r="I34" s="2848" t="str">
        <f>I26*$C$33</f>
        <v>#VALUE!</v>
      </c>
      <c r="J34" s="2848"/>
      <c r="K34" s="2848" t="str">
        <f>K26*$C$33</f>
        <v>#VALUE!</v>
      </c>
      <c r="L34" s="2848"/>
      <c r="M34" s="2848" t="str">
        <f>M26*$C$33</f>
        <v>#VALUE!</v>
      </c>
      <c r="N34" s="2848"/>
      <c r="O34" s="2848" t="str">
        <f>O26*$C$33</f>
        <v>#VALUE!</v>
      </c>
      <c r="P34" s="2848"/>
      <c r="Q34" s="2848" t="str">
        <f>Q26*$C$33</f>
        <v>#VALUE!</v>
      </c>
      <c r="R34" s="2848"/>
      <c r="S34" s="2848" t="str">
        <f>S26*$C$33</f>
        <v>#VALUE!</v>
      </c>
      <c r="T34" s="2848"/>
      <c r="U34" s="2848" t="str">
        <f>U26*$C$33</f>
        <v>#VALUE!</v>
      </c>
      <c r="V34" s="2848"/>
      <c r="W34" s="2848" t="str">
        <f>W26*$C$33</f>
        <v>#VALUE!</v>
      </c>
      <c r="X34" s="2848"/>
      <c r="Y34" s="2848" t="str">
        <f>Y26*$C$33</f>
        <v>#VALUE!</v>
      </c>
      <c r="Z34" s="1006"/>
      <c r="AA34" s="2848" t="str">
        <f>AA26*$C$33</f>
        <v>#VALUE!</v>
      </c>
      <c r="AB34" s="1006"/>
      <c r="AC34" s="2848" t="str">
        <f>AC26*$C$33</f>
        <v>#VALUE!</v>
      </c>
      <c r="AD34" s="1006"/>
      <c r="AE34" s="2848" t="str">
        <f>AE26*$C$33</f>
        <v>#VALUE!</v>
      </c>
      <c r="AF34" s="1006"/>
      <c r="AG34" s="2848" t="str">
        <f>AG26*$C$33</f>
        <v>#VALUE!</v>
      </c>
      <c r="AH34" s="1006"/>
      <c r="AI34" s="1006"/>
      <c r="AJ34" s="1006"/>
      <c r="AK34" s="1006"/>
      <c r="AL34" s="1006"/>
      <c r="AM34" s="1006"/>
      <c r="AN34" s="1006"/>
      <c r="AO34" s="1006"/>
      <c r="AP34" s="1006"/>
      <c r="AQ34" s="1006"/>
      <c r="AR34" s="1006"/>
      <c r="AS34" s="1006"/>
    </row>
    <row r="35">
      <c r="A35" s="1006"/>
      <c r="B35" s="1006"/>
      <c r="C35" s="2848"/>
      <c r="D35" s="2848"/>
      <c r="E35" s="2848"/>
      <c r="F35" s="2848"/>
      <c r="G35" s="2848"/>
      <c r="H35" s="2848"/>
      <c r="I35" s="2848"/>
      <c r="J35" s="2848"/>
      <c r="K35" s="2848"/>
      <c r="L35" s="2848"/>
      <c r="M35" s="2848"/>
      <c r="N35" s="2848"/>
      <c r="O35" s="2848"/>
      <c r="P35" s="2848"/>
      <c r="Q35" s="2848"/>
      <c r="R35" s="2848"/>
      <c r="S35" s="2848"/>
      <c r="T35" s="2848"/>
      <c r="U35" s="2848"/>
      <c r="V35" s="2848"/>
      <c r="W35" s="2848"/>
      <c r="X35" s="2848"/>
      <c r="Y35" s="2848"/>
      <c r="Z35" s="1006"/>
      <c r="AA35" s="2848"/>
      <c r="AB35" s="1006"/>
      <c r="AC35" s="2848"/>
      <c r="AD35" s="1006"/>
      <c r="AE35" s="2848"/>
      <c r="AF35" s="1006"/>
      <c r="AG35" s="2848"/>
      <c r="AH35" s="1006"/>
      <c r="AI35" s="1006"/>
      <c r="AJ35" s="1006"/>
      <c r="AK35" s="1006"/>
      <c r="AL35" s="1006"/>
      <c r="AM35" s="1006"/>
      <c r="AN35" s="1006"/>
      <c r="AO35" s="1006"/>
      <c r="AP35" s="1006"/>
      <c r="AQ35" s="1006"/>
      <c r="AR35" s="1006"/>
      <c r="AS35" s="1006"/>
    </row>
    <row r="36">
      <c r="A36" s="1006"/>
      <c r="B36" s="1006"/>
      <c r="C36" s="1006"/>
      <c r="D36" s="1006"/>
      <c r="E36" s="1006"/>
      <c r="F36" s="1006"/>
      <c r="G36" s="1006"/>
      <c r="H36" s="1006"/>
      <c r="I36" s="1006"/>
      <c r="J36" s="1006"/>
      <c r="K36" s="1006"/>
      <c r="L36" s="1006"/>
      <c r="M36" s="1006"/>
      <c r="N36" s="1006"/>
      <c r="O36" s="1006"/>
      <c r="P36" s="1006"/>
      <c r="Q36" s="1006"/>
      <c r="R36" s="1006"/>
      <c r="S36" s="1006"/>
      <c r="T36" s="1006"/>
      <c r="U36" s="1006"/>
      <c r="V36" s="1006"/>
      <c r="W36" s="1006"/>
      <c r="X36" s="1006"/>
      <c r="Y36" s="1006"/>
      <c r="Z36" s="1006"/>
      <c r="AA36" s="1006"/>
      <c r="AB36" s="1006"/>
      <c r="AC36" s="1006"/>
      <c r="AD36" s="1006"/>
      <c r="AE36" s="1006"/>
      <c r="AF36" s="1006"/>
      <c r="AG36" s="1006"/>
      <c r="AH36" s="1006"/>
      <c r="AI36" s="1006"/>
      <c r="AJ36" s="1006"/>
      <c r="AK36" s="1006"/>
      <c r="AL36" s="1006"/>
      <c r="AM36" s="1006"/>
      <c r="AN36" s="1006"/>
      <c r="AO36" s="1006"/>
      <c r="AP36" s="1006"/>
      <c r="AQ36" s="1006"/>
      <c r="AR36" s="1006"/>
      <c r="AS36" s="1006"/>
    </row>
    <row r="37">
      <c r="A37" s="1006"/>
      <c r="B37" s="1006"/>
      <c r="C37" s="1006"/>
      <c r="D37" s="1006"/>
      <c r="E37" s="1006"/>
      <c r="F37" s="1006"/>
      <c r="G37" s="1006"/>
      <c r="H37" s="1006" t="s">
        <v>1915</v>
      </c>
      <c r="I37" s="1006"/>
      <c r="J37" s="1006"/>
      <c r="K37" s="1006"/>
      <c r="L37" s="1006"/>
      <c r="M37" s="1006"/>
      <c r="N37" s="1006"/>
      <c r="O37" s="1006"/>
      <c r="P37" s="1006"/>
      <c r="Q37" s="1006"/>
      <c r="R37" s="1006"/>
      <c r="S37" s="1006"/>
      <c r="T37" s="1006"/>
      <c r="U37" s="1006"/>
      <c r="V37" s="1006"/>
      <c r="W37" s="1006"/>
      <c r="X37" s="1006"/>
      <c r="Y37" s="1006"/>
      <c r="Z37" s="1006"/>
      <c r="AA37" s="1006"/>
      <c r="AB37" s="1006"/>
      <c r="AC37" s="1006"/>
      <c r="AD37" s="1006"/>
      <c r="AE37" s="1006"/>
      <c r="AF37" s="1006"/>
      <c r="AG37" s="1006"/>
      <c r="AH37" s="1006"/>
      <c r="AI37" s="1006"/>
      <c r="AJ37" s="1006"/>
      <c r="AK37" s="1006"/>
      <c r="AL37" s="1006"/>
      <c r="AM37" s="1006"/>
      <c r="AN37" s="1006"/>
      <c r="AO37" s="1006"/>
      <c r="AP37" s="1006"/>
      <c r="AQ37" s="1006"/>
      <c r="AR37" s="1006"/>
      <c r="AS37" s="1006"/>
    </row>
    <row r="38">
      <c r="A38" s="1006"/>
      <c r="B38" s="1006">
        <v>9.0</v>
      </c>
      <c r="C38" s="1006" t="s">
        <v>1752</v>
      </c>
      <c r="D38" s="1006"/>
      <c r="E38" s="1006">
        <v>19.0</v>
      </c>
      <c r="F38" s="1006"/>
      <c r="G38" s="2848" t="str">
        <f>HLOOKUP(E38,$A$3:$AG$35,32,0)</f>
        <v>#VALUE!</v>
      </c>
      <c r="H38" s="1006">
        <v>0.967</v>
      </c>
      <c r="I38" s="2853" t="str">
        <f>H38*G38</f>
        <v>#VALUE!</v>
      </c>
      <c r="J38" s="1006"/>
      <c r="K38" s="1006"/>
      <c r="L38" s="1006"/>
      <c r="M38" s="1006"/>
      <c r="N38" s="1006"/>
      <c r="O38" s="1006"/>
      <c r="P38" s="1006"/>
      <c r="Q38" s="1006"/>
      <c r="R38" s="1006"/>
      <c r="S38" s="1006"/>
      <c r="T38" s="1006"/>
      <c r="U38" s="1006"/>
      <c r="V38" s="1006"/>
      <c r="W38" s="1006"/>
      <c r="X38" s="1006"/>
      <c r="Y38" s="1006"/>
      <c r="Z38" s="1006"/>
      <c r="AA38" s="1006"/>
      <c r="AB38" s="1006"/>
      <c r="AC38" s="1006"/>
      <c r="AD38" s="1006"/>
      <c r="AE38" s="1006"/>
      <c r="AF38" s="1006"/>
      <c r="AG38" s="1006"/>
      <c r="AH38" s="1006"/>
      <c r="AI38" s="1006"/>
      <c r="AJ38" s="1006"/>
      <c r="AK38" s="1006"/>
      <c r="AL38" s="1006"/>
      <c r="AM38" s="1006"/>
      <c r="AN38" s="1006"/>
      <c r="AO38" s="1006"/>
      <c r="AP38" s="1006"/>
      <c r="AQ38" s="1006"/>
      <c r="AR38" s="1006"/>
      <c r="AS38" s="1006"/>
    </row>
    <row r="39">
      <c r="A39" s="1006"/>
      <c r="B39" s="2752" t="s">
        <v>1916</v>
      </c>
      <c r="C39" s="1006">
        <v>150.0</v>
      </c>
      <c r="D39" s="1006"/>
      <c r="E39" s="1006"/>
      <c r="F39" s="1006"/>
      <c r="G39" s="2848"/>
      <c r="H39" s="1006"/>
      <c r="I39" s="2848" t="str">
        <f>CEILING(I38,100)</f>
        <v>#VALUE!</v>
      </c>
      <c r="J39" s="1006" t="s">
        <v>1917</v>
      </c>
      <c r="K39" s="1006"/>
      <c r="L39" s="1006"/>
      <c r="M39" s="1006"/>
      <c r="N39" s="1006"/>
      <c r="O39" s="1006"/>
      <c r="P39" s="1006"/>
      <c r="Q39" s="1006"/>
      <c r="R39" s="1006"/>
      <c r="S39" s="1006"/>
      <c r="T39" s="1006"/>
      <c r="U39" s="1006"/>
      <c r="V39" s="1006"/>
      <c r="W39" s="1006"/>
      <c r="X39" s="1006"/>
      <c r="Y39" s="1006"/>
      <c r="Z39" s="1006"/>
      <c r="AA39" s="1006"/>
      <c r="AB39" s="1006"/>
      <c r="AC39" s="1006"/>
      <c r="AD39" s="1006"/>
      <c r="AE39" s="1006"/>
      <c r="AF39" s="1006"/>
      <c r="AG39" s="1006"/>
      <c r="AH39" s="1006"/>
      <c r="AI39" s="1006"/>
      <c r="AJ39" s="1006"/>
      <c r="AK39" s="1006"/>
      <c r="AL39" s="1006"/>
      <c r="AM39" s="1006"/>
      <c r="AN39" s="1006"/>
      <c r="AO39" s="1006"/>
      <c r="AP39" s="1006"/>
      <c r="AQ39" s="1006"/>
      <c r="AR39" s="1006"/>
      <c r="AS39" s="1006"/>
    </row>
    <row r="40">
      <c r="A40" s="1006"/>
      <c r="B40" s="1006"/>
      <c r="C40" s="1006"/>
      <c r="D40" s="1006"/>
      <c r="E40" s="1006"/>
      <c r="F40" s="1006"/>
      <c r="G40" s="1006"/>
      <c r="H40" s="1006"/>
      <c r="I40" s="2853" t="str">
        <f>I38*C39</f>
        <v>#VALUE!</v>
      </c>
      <c r="J40" s="1006"/>
      <c r="K40" s="1006"/>
      <c r="L40" s="1006"/>
      <c r="M40" s="1006"/>
      <c r="N40" s="1006"/>
      <c r="O40" s="1006"/>
      <c r="P40" s="1006"/>
      <c r="Q40" s="1006"/>
      <c r="R40" s="1006"/>
      <c r="S40" s="1006"/>
      <c r="T40" s="1006"/>
      <c r="U40" s="1006"/>
      <c r="V40" s="1006"/>
      <c r="W40" s="1006"/>
      <c r="X40" s="1006"/>
      <c r="Y40" s="1006"/>
      <c r="Z40" s="1006"/>
      <c r="AA40" s="1006"/>
      <c r="AB40" s="1006"/>
      <c r="AC40" s="1006"/>
      <c r="AD40" s="1006"/>
      <c r="AE40" s="1006"/>
      <c r="AF40" s="1006"/>
      <c r="AG40" s="1006"/>
      <c r="AH40" s="1006"/>
      <c r="AI40" s="1006"/>
      <c r="AJ40" s="1006"/>
      <c r="AK40" s="1006"/>
      <c r="AL40" s="1006"/>
      <c r="AM40" s="1006"/>
      <c r="AN40" s="1006"/>
      <c r="AO40" s="1006"/>
      <c r="AP40" s="1006"/>
      <c r="AQ40" s="1006"/>
      <c r="AR40" s="1006"/>
      <c r="AS40" s="1006"/>
    </row>
    <row r="41">
      <c r="A41" s="1006"/>
      <c r="B41" s="1006"/>
      <c r="C41" s="1006"/>
      <c r="D41" s="1006"/>
      <c r="E41" s="1006"/>
      <c r="F41" s="1006" t="s">
        <v>1918</v>
      </c>
      <c r="G41" s="1006"/>
      <c r="H41" s="1006"/>
      <c r="I41" s="2749">
        <f>'% Avance de Obra'!I53</f>
        <v>1</v>
      </c>
      <c r="J41" s="1006"/>
      <c r="K41" s="1006"/>
      <c r="L41" s="1006"/>
      <c r="M41" s="1006"/>
      <c r="N41" s="1006"/>
      <c r="O41" s="1006"/>
      <c r="P41" s="1006"/>
      <c r="Q41" s="1006"/>
      <c r="R41" s="1006"/>
      <c r="S41" s="1006"/>
      <c r="T41" s="1006"/>
      <c r="U41" s="1006"/>
      <c r="V41" s="1006"/>
      <c r="W41" s="1006"/>
      <c r="X41" s="1006"/>
      <c r="Y41" s="1006"/>
      <c r="Z41" s="1006"/>
      <c r="AA41" s="1006"/>
      <c r="AB41" s="1006"/>
      <c r="AC41" s="1006"/>
      <c r="AD41" s="1006"/>
      <c r="AE41" s="1006"/>
      <c r="AF41" s="1006"/>
      <c r="AG41" s="1006"/>
      <c r="AH41" s="1006"/>
      <c r="AI41" s="1006"/>
      <c r="AJ41" s="1006"/>
      <c r="AK41" s="1006"/>
      <c r="AL41" s="1006"/>
      <c r="AM41" s="1006"/>
      <c r="AN41" s="1006"/>
      <c r="AO41" s="1006"/>
      <c r="AP41" s="1006"/>
      <c r="AQ41" s="1006"/>
      <c r="AR41" s="1006"/>
      <c r="AS41" s="1006"/>
    </row>
    <row r="42">
      <c r="A42" s="1006"/>
      <c r="B42" s="1006"/>
      <c r="C42" s="1006"/>
      <c r="D42" s="1006"/>
      <c r="E42" s="1006"/>
      <c r="F42" s="1006" t="s">
        <v>1919</v>
      </c>
      <c r="G42" s="1006"/>
      <c r="H42" s="1006"/>
      <c r="I42" s="2749">
        <f>1-I41</f>
        <v>0</v>
      </c>
      <c r="J42" s="1006"/>
      <c r="K42" s="1006"/>
      <c r="L42" s="1006"/>
      <c r="M42" s="1006"/>
      <c r="N42" s="1006"/>
      <c r="O42" s="1006"/>
      <c r="P42" s="1006"/>
      <c r="Q42" s="1006"/>
      <c r="R42" s="1006"/>
      <c r="S42" s="1006"/>
      <c r="T42" s="1006"/>
      <c r="U42" s="1006"/>
      <c r="V42" s="1006"/>
      <c r="W42" s="1006"/>
      <c r="X42" s="1006"/>
      <c r="Y42" s="1006"/>
      <c r="Z42" s="1006"/>
      <c r="AA42" s="1006"/>
      <c r="AB42" s="1006"/>
      <c r="AC42" s="1006"/>
      <c r="AD42" s="1006"/>
      <c r="AE42" s="1006"/>
      <c r="AF42" s="1006"/>
      <c r="AG42" s="1006"/>
      <c r="AH42" s="1006"/>
      <c r="AI42" s="1006"/>
      <c r="AJ42" s="1006"/>
      <c r="AK42" s="1006"/>
      <c r="AL42" s="1006"/>
      <c r="AM42" s="1006"/>
      <c r="AN42" s="1006"/>
      <c r="AO42" s="1006"/>
      <c r="AP42" s="1006"/>
      <c r="AQ42" s="1006"/>
      <c r="AR42" s="1006"/>
      <c r="AS42" s="1006"/>
    </row>
    <row r="43">
      <c r="A43" s="1006"/>
      <c r="B43" s="1006"/>
      <c r="C43" s="1006"/>
      <c r="D43" s="1006"/>
      <c r="E43" s="1006"/>
      <c r="F43" s="2752" t="s">
        <v>1920</v>
      </c>
      <c r="G43" s="1006"/>
      <c r="H43" s="1006"/>
      <c r="I43" s="2857" t="str">
        <f>I40*I42</f>
        <v>#VALUE!</v>
      </c>
      <c r="J43" s="1006"/>
      <c r="K43" s="1006"/>
      <c r="L43" s="1006"/>
      <c r="M43" s="1006"/>
      <c r="N43" s="1006"/>
      <c r="O43" s="1006"/>
      <c r="P43" s="1006"/>
      <c r="Q43" s="1006"/>
      <c r="R43" s="1006"/>
      <c r="S43" s="1006"/>
      <c r="T43" s="1006"/>
      <c r="U43" s="1006"/>
      <c r="V43" s="1006"/>
      <c r="W43" s="1006"/>
      <c r="X43" s="1006"/>
      <c r="Y43" s="1006"/>
      <c r="Z43" s="1006"/>
      <c r="AA43" s="1006"/>
      <c r="AB43" s="1006"/>
      <c r="AC43" s="1006"/>
      <c r="AD43" s="1006"/>
      <c r="AE43" s="1006"/>
      <c r="AF43" s="1006"/>
      <c r="AG43" s="1006"/>
      <c r="AH43" s="1006"/>
      <c r="AI43" s="1006"/>
      <c r="AJ43" s="1006"/>
      <c r="AK43" s="1006"/>
      <c r="AL43" s="1006"/>
      <c r="AM43" s="1006"/>
      <c r="AN43" s="1006"/>
      <c r="AO43" s="1006"/>
      <c r="AP43" s="1006"/>
      <c r="AQ43" s="1006"/>
      <c r="AR43" s="1006"/>
      <c r="AS43" s="1006"/>
    </row>
    <row r="44">
      <c r="A44" s="1006"/>
      <c r="B44" s="1006"/>
      <c r="C44" s="1006"/>
      <c r="D44" s="1006"/>
      <c r="E44" s="1006"/>
      <c r="F44" s="2752" t="s">
        <v>1921</v>
      </c>
      <c r="G44" s="1006"/>
      <c r="H44" s="1006"/>
      <c r="I44" s="2858" t="str">
        <f>CEILING(I43,1000)</f>
        <v>#VALUE!</v>
      </c>
      <c r="J44" s="1006"/>
      <c r="K44" s="1006"/>
      <c r="L44" s="1006"/>
      <c r="M44" s="1006"/>
      <c r="N44" s="1006"/>
      <c r="O44" s="1006"/>
      <c r="P44" s="1006"/>
      <c r="Q44" s="1006"/>
      <c r="R44" s="1006"/>
      <c r="S44" s="1006"/>
      <c r="T44" s="1006"/>
      <c r="U44" s="1006"/>
      <c r="V44" s="1006"/>
      <c r="W44" s="1006"/>
      <c r="X44" s="1006"/>
      <c r="Y44" s="1006"/>
      <c r="Z44" s="1006"/>
      <c r="AA44" s="1006"/>
      <c r="AB44" s="1006"/>
      <c r="AC44" s="1006"/>
      <c r="AD44" s="1006"/>
      <c r="AE44" s="1006"/>
      <c r="AF44" s="1006"/>
      <c r="AG44" s="1006"/>
      <c r="AH44" s="1006"/>
      <c r="AI44" s="1006"/>
      <c r="AJ44" s="1006"/>
      <c r="AK44" s="1006"/>
      <c r="AL44" s="1006"/>
      <c r="AM44" s="1006"/>
      <c r="AN44" s="1006"/>
      <c r="AO44" s="1006"/>
      <c r="AP44" s="1006"/>
      <c r="AQ44" s="1006"/>
      <c r="AR44" s="1006"/>
      <c r="AS44" s="1006"/>
    </row>
    <row r="45">
      <c r="A45" s="1006"/>
      <c r="B45" s="1006"/>
      <c r="C45" s="1006"/>
      <c r="D45" s="1006"/>
      <c r="E45" s="1006"/>
      <c r="F45" s="1006"/>
      <c r="G45" s="1006"/>
      <c r="H45" s="1006"/>
      <c r="I45" s="1006"/>
      <c r="J45" s="1006"/>
      <c r="K45" s="1006"/>
      <c r="L45" s="1006"/>
      <c r="M45" s="1006"/>
      <c r="N45" s="1006"/>
      <c r="O45" s="1006"/>
      <c r="P45" s="1006"/>
      <c r="Q45" s="1006"/>
      <c r="R45" s="1006"/>
      <c r="S45" s="1006"/>
      <c r="T45" s="1006"/>
      <c r="U45" s="1006"/>
      <c r="V45" s="1006"/>
      <c r="W45" s="1006"/>
      <c r="X45" s="1006"/>
      <c r="Y45" s="1006"/>
      <c r="Z45" s="1006"/>
      <c r="AA45" s="1006"/>
      <c r="AB45" s="1006"/>
      <c r="AC45" s="1006"/>
      <c r="AD45" s="1006"/>
      <c r="AE45" s="1006"/>
      <c r="AF45" s="1006"/>
      <c r="AG45" s="1006"/>
      <c r="AH45" s="1006"/>
      <c r="AI45" s="1006"/>
      <c r="AJ45" s="1006"/>
      <c r="AK45" s="1006"/>
      <c r="AL45" s="1006"/>
      <c r="AM45" s="1006"/>
      <c r="AN45" s="1006"/>
      <c r="AO45" s="1006"/>
      <c r="AP45" s="1006"/>
      <c r="AQ45" s="1006"/>
      <c r="AR45" s="1006"/>
      <c r="AS45" s="1006"/>
    </row>
    <row r="46">
      <c r="A46" s="1006"/>
      <c r="B46" s="1006"/>
      <c r="C46" s="1006"/>
      <c r="D46" s="1006"/>
      <c r="E46" s="1006" t="s">
        <v>1922</v>
      </c>
      <c r="F46" s="1006"/>
      <c r="G46" s="1006" t="s">
        <v>1923</v>
      </c>
      <c r="H46" s="1006"/>
      <c r="I46" s="1006">
        <f>I42*100</f>
        <v>0</v>
      </c>
      <c r="J46" s="1006">
        <f>CEILING(I46,0.1)</f>
        <v>0</v>
      </c>
      <c r="K46" s="1006" t="s">
        <v>239</v>
      </c>
      <c r="L46" s="1006" t="str">
        <f>CONCATENATE(G46," ",J46, " ",K46)</f>
        <v>Deterioro resultante 0 %</v>
      </c>
      <c r="M46" s="1006"/>
      <c r="N46" s="1006"/>
      <c r="O46" s="1006"/>
      <c r="P46" s="1006"/>
      <c r="Q46" s="1006"/>
      <c r="R46" s="1006"/>
      <c r="S46" s="1006"/>
      <c r="T46" s="1006"/>
      <c r="U46" s="1006"/>
      <c r="V46" s="1006"/>
      <c r="W46" s="1006"/>
      <c r="X46" s="1006"/>
      <c r="Y46" s="1006"/>
      <c r="Z46" s="1006"/>
      <c r="AA46" s="1006"/>
      <c r="AB46" s="1006"/>
      <c r="AC46" s="1006"/>
      <c r="AD46" s="1006"/>
      <c r="AE46" s="1006"/>
      <c r="AF46" s="1006"/>
      <c r="AG46" s="1006"/>
      <c r="AH46" s="1006"/>
      <c r="AI46" s="1006"/>
      <c r="AJ46" s="1006"/>
      <c r="AK46" s="1006"/>
      <c r="AL46" s="1006"/>
      <c r="AM46" s="1006"/>
      <c r="AN46" s="1006"/>
      <c r="AO46" s="1006"/>
      <c r="AP46" s="1006"/>
      <c r="AQ46" s="1006"/>
      <c r="AR46" s="1006"/>
      <c r="AS46" s="1006"/>
    </row>
    <row r="47">
      <c r="A47" s="1006"/>
      <c r="B47" s="1006"/>
      <c r="C47" s="1006"/>
      <c r="D47" s="1006"/>
      <c r="E47" s="1006"/>
      <c r="F47" s="1006"/>
      <c r="G47" s="1006"/>
      <c r="H47" s="1006"/>
      <c r="I47" s="1006"/>
      <c r="J47" s="1006"/>
      <c r="K47" s="1006"/>
      <c r="L47" s="1006"/>
      <c r="M47" s="1006"/>
      <c r="N47" s="1006"/>
      <c r="O47" s="1006"/>
      <c r="P47" s="1006"/>
      <c r="Q47" s="1006"/>
      <c r="R47" s="1006"/>
      <c r="S47" s="1006"/>
      <c r="T47" s="1006"/>
      <c r="U47" s="1006"/>
      <c r="V47" s="1006"/>
      <c r="W47" s="1006"/>
      <c r="X47" s="1006"/>
      <c r="Y47" s="1006"/>
      <c r="Z47" s="1006"/>
      <c r="AA47" s="1006"/>
      <c r="AB47" s="1006"/>
      <c r="AC47" s="1006"/>
      <c r="AD47" s="1006"/>
      <c r="AE47" s="1006"/>
      <c r="AF47" s="1006"/>
      <c r="AG47" s="1006"/>
      <c r="AH47" s="1006"/>
      <c r="AI47" s="1006"/>
      <c r="AJ47" s="1006"/>
      <c r="AK47" s="1006"/>
      <c r="AL47" s="1006"/>
      <c r="AM47" s="1006"/>
      <c r="AN47" s="1006"/>
      <c r="AO47" s="1006"/>
      <c r="AP47" s="1006"/>
      <c r="AQ47" s="1006"/>
      <c r="AR47" s="1006"/>
      <c r="AS47" s="1006"/>
    </row>
    <row r="48">
      <c r="A48" s="1006"/>
      <c r="B48" s="1006"/>
      <c r="C48" s="1006"/>
      <c r="D48" s="1006"/>
      <c r="E48" s="1006"/>
      <c r="F48" s="1006"/>
      <c r="G48" s="1006"/>
      <c r="H48" s="1006"/>
      <c r="I48" s="1006"/>
      <c r="J48" s="1006"/>
      <c r="K48" s="1006"/>
      <c r="L48" s="1006"/>
      <c r="M48" s="1006"/>
      <c r="N48" s="1006"/>
      <c r="O48" s="1006"/>
      <c r="P48" s="1006"/>
      <c r="Q48" s="1006"/>
      <c r="R48" s="1006"/>
      <c r="S48" s="1006"/>
      <c r="T48" s="1006"/>
      <c r="U48" s="1006"/>
      <c r="V48" s="1006"/>
      <c r="W48" s="1006"/>
      <c r="X48" s="1006"/>
      <c r="Y48" s="1006"/>
      <c r="Z48" s="1006"/>
      <c r="AA48" s="1006"/>
      <c r="AB48" s="1006"/>
      <c r="AC48" s="1006"/>
      <c r="AD48" s="1006"/>
      <c r="AE48" s="1006"/>
      <c r="AF48" s="1006"/>
      <c r="AG48" s="1006"/>
      <c r="AH48" s="1006"/>
      <c r="AI48" s="1006"/>
      <c r="AJ48" s="1006"/>
      <c r="AK48" s="1006"/>
      <c r="AL48" s="1006"/>
      <c r="AM48" s="1006"/>
      <c r="AN48" s="1006"/>
      <c r="AO48" s="1006"/>
      <c r="AP48" s="1006"/>
      <c r="AQ48" s="1006"/>
      <c r="AR48" s="1006"/>
      <c r="AS48" s="1006"/>
    </row>
    <row r="49">
      <c r="A49" s="1006"/>
      <c r="B49" s="1006"/>
      <c r="C49" s="1006"/>
      <c r="D49" s="1006"/>
      <c r="E49" s="1006"/>
      <c r="F49" s="1006"/>
      <c r="G49" s="1006"/>
      <c r="H49" s="1006"/>
      <c r="I49" s="1006"/>
      <c r="J49" s="1006"/>
      <c r="K49" s="1006"/>
      <c r="L49" s="1006"/>
      <c r="M49" s="1006"/>
      <c r="N49" s="1006"/>
      <c r="O49" s="1006"/>
      <c r="P49" s="1006"/>
      <c r="Q49" s="1006"/>
      <c r="R49" s="1006"/>
      <c r="S49" s="1006"/>
      <c r="T49" s="1006"/>
      <c r="U49" s="1006"/>
      <c r="V49" s="1006"/>
      <c r="W49" s="1006"/>
      <c r="X49" s="1006"/>
      <c r="Y49" s="1006"/>
      <c r="Z49" s="1006"/>
      <c r="AA49" s="1006"/>
      <c r="AB49" s="1006"/>
      <c r="AC49" s="1006"/>
      <c r="AD49" s="1006"/>
      <c r="AE49" s="1006"/>
      <c r="AF49" s="1006"/>
      <c r="AG49" s="1006"/>
      <c r="AH49" s="1006"/>
      <c r="AI49" s="1006"/>
      <c r="AJ49" s="1006"/>
      <c r="AK49" s="1006"/>
      <c r="AL49" s="1006"/>
      <c r="AM49" s="1006"/>
      <c r="AN49" s="1006"/>
      <c r="AO49" s="1006"/>
      <c r="AP49" s="1006"/>
      <c r="AQ49" s="1006"/>
      <c r="AR49" s="1006"/>
      <c r="AS49" s="1006"/>
    </row>
    <row r="50">
      <c r="A50" s="1006"/>
      <c r="B50" s="1006"/>
      <c r="C50" s="1006"/>
      <c r="D50" s="1006"/>
      <c r="E50" s="1006"/>
      <c r="F50" s="1006"/>
      <c r="G50" s="1006"/>
      <c r="H50" s="1006"/>
      <c r="I50" s="1006"/>
      <c r="J50" s="1006"/>
      <c r="K50" s="1006"/>
      <c r="L50" s="1006"/>
      <c r="M50" s="1006"/>
      <c r="N50" s="1006"/>
      <c r="O50" s="1006"/>
      <c r="P50" s="1006"/>
      <c r="Q50" s="1006"/>
      <c r="R50" s="1006"/>
      <c r="S50" s="1006"/>
      <c r="T50" s="1006"/>
      <c r="U50" s="1006"/>
      <c r="V50" s="1006"/>
      <c r="W50" s="1006"/>
      <c r="X50" s="1006"/>
      <c r="Y50" s="1006"/>
      <c r="Z50" s="1006"/>
      <c r="AA50" s="1006"/>
      <c r="AB50" s="1006"/>
      <c r="AC50" s="1006"/>
      <c r="AD50" s="1006"/>
      <c r="AE50" s="1006"/>
      <c r="AF50" s="1006"/>
      <c r="AG50" s="1006"/>
      <c r="AH50" s="1006"/>
      <c r="AI50" s="1006"/>
      <c r="AJ50" s="1006"/>
      <c r="AK50" s="1006"/>
      <c r="AL50" s="1006"/>
      <c r="AM50" s="1006"/>
      <c r="AN50" s="1006"/>
      <c r="AO50" s="1006"/>
      <c r="AP50" s="1006"/>
      <c r="AQ50" s="1006"/>
      <c r="AR50" s="1006"/>
      <c r="AS50" s="1006"/>
    </row>
    <row r="51">
      <c r="A51" s="1006"/>
      <c r="B51" s="1006"/>
      <c r="C51" s="1006"/>
      <c r="D51" s="1006"/>
      <c r="E51" s="1006"/>
      <c r="F51" s="1006"/>
      <c r="G51" s="1006"/>
      <c r="H51" s="1006"/>
      <c r="I51" s="1006"/>
      <c r="J51" s="1006"/>
      <c r="K51" s="1006"/>
      <c r="L51" s="1006"/>
      <c r="M51" s="1006"/>
      <c r="N51" s="1006"/>
      <c r="O51" s="1006"/>
      <c r="P51" s="1006"/>
      <c r="Q51" s="1006"/>
      <c r="R51" s="1006"/>
      <c r="S51" s="1006"/>
      <c r="T51" s="1006"/>
      <c r="U51" s="1006"/>
      <c r="V51" s="1006"/>
      <c r="W51" s="1006"/>
      <c r="X51" s="1006"/>
      <c r="Y51" s="1006"/>
      <c r="Z51" s="1006"/>
      <c r="AA51" s="1006"/>
      <c r="AB51" s="1006"/>
      <c r="AC51" s="1006"/>
      <c r="AD51" s="1006"/>
      <c r="AE51" s="1006"/>
      <c r="AF51" s="1006"/>
      <c r="AG51" s="1006"/>
      <c r="AH51" s="1006"/>
      <c r="AI51" s="1006"/>
      <c r="AJ51" s="1006"/>
      <c r="AK51" s="1006"/>
      <c r="AL51" s="1006"/>
      <c r="AM51" s="1006"/>
      <c r="AN51" s="1006"/>
      <c r="AO51" s="1006"/>
      <c r="AP51" s="1006"/>
      <c r="AQ51" s="1006"/>
      <c r="AR51" s="1006"/>
      <c r="AS51" s="1006"/>
    </row>
    <row r="52">
      <c r="A52" s="1006"/>
      <c r="B52" s="1006"/>
      <c r="C52" s="1006"/>
      <c r="D52" s="1006"/>
      <c r="E52" s="1006"/>
      <c r="F52" s="1006"/>
      <c r="G52" s="1006"/>
      <c r="H52" s="1006"/>
      <c r="I52" s="1006"/>
      <c r="J52" s="1006"/>
      <c r="K52" s="1006"/>
      <c r="L52" s="1006"/>
      <c r="M52" s="1006"/>
      <c r="N52" s="1006"/>
      <c r="O52" s="1006"/>
      <c r="P52" s="1006"/>
      <c r="Q52" s="1006"/>
      <c r="R52" s="1006"/>
      <c r="S52" s="1006"/>
      <c r="T52" s="1006"/>
      <c r="U52" s="1006"/>
      <c r="V52" s="1006"/>
      <c r="W52" s="1006"/>
      <c r="X52" s="1006"/>
      <c r="Y52" s="1006"/>
      <c r="Z52" s="1006"/>
      <c r="AA52" s="1006"/>
      <c r="AB52" s="1006"/>
      <c r="AC52" s="1006"/>
      <c r="AD52" s="1006"/>
      <c r="AE52" s="1006"/>
      <c r="AF52" s="1006"/>
      <c r="AG52" s="1006"/>
      <c r="AH52" s="1006"/>
      <c r="AI52" s="1006"/>
      <c r="AJ52" s="1006"/>
      <c r="AK52" s="1006"/>
      <c r="AL52" s="1006"/>
      <c r="AM52" s="1006"/>
      <c r="AN52" s="1006"/>
      <c r="AO52" s="1006"/>
      <c r="AP52" s="1006"/>
      <c r="AQ52" s="1006"/>
      <c r="AR52" s="1006"/>
      <c r="AS52" s="1006"/>
    </row>
    <row r="53">
      <c r="A53" s="1006"/>
      <c r="B53" s="1006"/>
      <c r="C53" s="1006"/>
      <c r="D53" s="1006"/>
      <c r="E53" s="1006"/>
      <c r="F53" s="1006"/>
      <c r="G53" s="1006"/>
      <c r="H53" s="1006"/>
      <c r="I53" s="1006"/>
      <c r="J53" s="1006"/>
      <c r="K53" s="1006"/>
      <c r="L53" s="1006"/>
      <c r="M53" s="1006"/>
      <c r="N53" s="1006"/>
      <c r="O53" s="1006"/>
      <c r="P53" s="1006"/>
      <c r="Q53" s="1006"/>
      <c r="R53" s="1006"/>
      <c r="S53" s="1006"/>
      <c r="T53" s="1006"/>
      <c r="U53" s="1006"/>
      <c r="V53" s="1006"/>
      <c r="W53" s="1006"/>
      <c r="X53" s="1006"/>
      <c r="Y53" s="1006"/>
      <c r="Z53" s="1006"/>
      <c r="AA53" s="1006"/>
      <c r="AB53" s="1006"/>
      <c r="AC53" s="1006"/>
      <c r="AD53" s="1006"/>
      <c r="AE53" s="1006"/>
      <c r="AF53" s="1006"/>
      <c r="AG53" s="1006"/>
      <c r="AH53" s="1006"/>
      <c r="AI53" s="1006"/>
      <c r="AJ53" s="1006"/>
      <c r="AK53" s="1006"/>
      <c r="AL53" s="1006"/>
      <c r="AM53" s="1006"/>
      <c r="AN53" s="1006"/>
      <c r="AO53" s="1006"/>
      <c r="AP53" s="1006"/>
      <c r="AQ53" s="1006"/>
      <c r="AR53" s="1006"/>
      <c r="AS53" s="1006"/>
    </row>
    <row r="54">
      <c r="A54" s="1006"/>
      <c r="B54" s="1006"/>
      <c r="C54" s="1006"/>
      <c r="D54" s="1006"/>
      <c r="E54" s="1006"/>
      <c r="F54" s="1006"/>
      <c r="G54" s="1006"/>
      <c r="H54" s="1006"/>
      <c r="I54" s="1006"/>
      <c r="J54" s="1006"/>
      <c r="K54" s="1006"/>
      <c r="L54" s="1006"/>
      <c r="M54" s="1006"/>
      <c r="N54" s="1006"/>
      <c r="O54" s="1006"/>
      <c r="P54" s="1006"/>
      <c r="Q54" s="1006"/>
      <c r="R54" s="1006"/>
      <c r="S54" s="1006"/>
      <c r="T54" s="1006"/>
      <c r="U54" s="1006"/>
      <c r="V54" s="1006"/>
      <c r="W54" s="1006"/>
      <c r="X54" s="1006"/>
      <c r="Y54" s="1006"/>
      <c r="Z54" s="1006"/>
      <c r="AA54" s="1006"/>
      <c r="AB54" s="1006"/>
      <c r="AC54" s="1006"/>
      <c r="AD54" s="1006"/>
      <c r="AE54" s="1006"/>
      <c r="AF54" s="1006"/>
      <c r="AG54" s="1006"/>
      <c r="AH54" s="1006"/>
      <c r="AI54" s="1006"/>
      <c r="AJ54" s="1006"/>
      <c r="AK54" s="1006"/>
      <c r="AL54" s="1006"/>
      <c r="AM54" s="1006"/>
      <c r="AN54" s="1006"/>
      <c r="AO54" s="1006"/>
      <c r="AP54" s="1006"/>
      <c r="AQ54" s="1006"/>
      <c r="AR54" s="1006"/>
      <c r="AS54" s="1006"/>
    </row>
    <row r="55">
      <c r="A55" s="1006"/>
      <c r="B55" s="1006"/>
      <c r="C55" s="1006"/>
      <c r="D55" s="1006"/>
      <c r="E55" s="1006"/>
      <c r="F55" s="1006"/>
      <c r="G55" s="1006"/>
      <c r="H55" s="1006"/>
      <c r="I55" s="1006"/>
      <c r="J55" s="1006"/>
      <c r="K55" s="1006"/>
      <c r="L55" s="1006"/>
      <c r="M55" s="1006"/>
      <c r="N55" s="1006"/>
      <c r="O55" s="1006"/>
      <c r="P55" s="1006"/>
      <c r="Q55" s="1006"/>
      <c r="R55" s="1006"/>
      <c r="S55" s="1006"/>
      <c r="T55" s="1006"/>
      <c r="U55" s="1006"/>
      <c r="V55" s="1006"/>
      <c r="W55" s="1006"/>
      <c r="X55" s="1006"/>
      <c r="Y55" s="1006"/>
      <c r="Z55" s="1006"/>
      <c r="AA55" s="1006"/>
      <c r="AB55" s="1006"/>
      <c r="AC55" s="1006"/>
      <c r="AD55" s="1006"/>
      <c r="AE55" s="1006"/>
      <c r="AF55" s="1006"/>
      <c r="AG55" s="1006"/>
      <c r="AH55" s="1006"/>
      <c r="AI55" s="1006"/>
      <c r="AJ55" s="1006"/>
      <c r="AK55" s="1006"/>
      <c r="AL55" s="1006"/>
      <c r="AM55" s="1006"/>
      <c r="AN55" s="1006"/>
      <c r="AO55" s="1006"/>
      <c r="AP55" s="1006"/>
      <c r="AQ55" s="1006"/>
      <c r="AR55" s="1006"/>
      <c r="AS55" s="1006"/>
    </row>
    <row r="56">
      <c r="A56" s="1006"/>
      <c r="B56" s="1006"/>
      <c r="C56" s="1006"/>
      <c r="D56" s="1006"/>
      <c r="E56" s="1006"/>
      <c r="F56" s="1006"/>
      <c r="G56" s="1006"/>
      <c r="H56" s="1006"/>
      <c r="I56" s="1006"/>
      <c r="J56" s="1006"/>
      <c r="K56" s="1006"/>
      <c r="L56" s="1006"/>
      <c r="M56" s="1006"/>
      <c r="N56" s="1006"/>
      <c r="O56" s="1006"/>
      <c r="P56" s="1006"/>
      <c r="Q56" s="1006"/>
      <c r="R56" s="1006"/>
      <c r="S56" s="1006"/>
      <c r="T56" s="1006"/>
      <c r="U56" s="1006"/>
      <c r="V56" s="1006"/>
      <c r="W56" s="1006"/>
      <c r="X56" s="1006"/>
      <c r="Y56" s="1006"/>
      <c r="Z56" s="1006"/>
      <c r="AA56" s="1006"/>
      <c r="AB56" s="1006"/>
      <c r="AC56" s="1006"/>
      <c r="AD56" s="1006"/>
      <c r="AE56" s="1006"/>
      <c r="AF56" s="1006"/>
      <c r="AG56" s="1006"/>
      <c r="AH56" s="1006"/>
      <c r="AI56" s="1006"/>
      <c r="AJ56" s="1006"/>
      <c r="AK56" s="1006"/>
      <c r="AL56" s="1006"/>
      <c r="AM56" s="1006"/>
      <c r="AN56" s="1006"/>
      <c r="AO56" s="1006"/>
      <c r="AP56" s="1006"/>
      <c r="AQ56" s="1006"/>
      <c r="AR56" s="1006"/>
      <c r="AS56" s="1006"/>
    </row>
    <row r="57">
      <c r="A57" s="1006"/>
      <c r="B57" s="1006"/>
      <c r="C57" s="1006"/>
      <c r="D57" s="1006"/>
      <c r="E57" s="1006"/>
      <c r="F57" s="1006"/>
      <c r="G57" s="1006"/>
      <c r="H57" s="1006"/>
      <c r="I57" s="1006"/>
      <c r="J57" s="1006"/>
      <c r="K57" s="1006"/>
      <c r="L57" s="1006"/>
      <c r="M57" s="1006"/>
      <c r="N57" s="1006"/>
      <c r="O57" s="1006"/>
      <c r="P57" s="1006"/>
      <c r="Q57" s="1006"/>
      <c r="R57" s="1006"/>
      <c r="S57" s="1006"/>
      <c r="T57" s="1006"/>
      <c r="U57" s="1006"/>
      <c r="V57" s="1006"/>
      <c r="W57" s="1006"/>
      <c r="X57" s="1006"/>
      <c r="Y57" s="1006"/>
      <c r="Z57" s="1006"/>
      <c r="AA57" s="1006"/>
      <c r="AB57" s="1006"/>
      <c r="AC57" s="1006"/>
      <c r="AD57" s="1006"/>
      <c r="AE57" s="1006"/>
      <c r="AF57" s="1006"/>
      <c r="AG57" s="1006"/>
      <c r="AH57" s="1006"/>
      <c r="AI57" s="1006"/>
      <c r="AJ57" s="1006"/>
      <c r="AK57" s="1006"/>
      <c r="AL57" s="1006"/>
      <c r="AM57" s="1006"/>
      <c r="AN57" s="1006"/>
      <c r="AO57" s="1006"/>
      <c r="AP57" s="1006"/>
      <c r="AQ57" s="1006"/>
      <c r="AR57" s="1006"/>
      <c r="AS57" s="1006"/>
    </row>
    <row r="58">
      <c r="A58" s="1006"/>
      <c r="B58" s="1006"/>
      <c r="C58" s="1006"/>
      <c r="D58" s="1006"/>
      <c r="E58" s="1006"/>
      <c r="F58" s="1006"/>
      <c r="G58" s="1006"/>
      <c r="H58" s="1006"/>
      <c r="I58" s="1006"/>
      <c r="J58" s="1006"/>
      <c r="K58" s="1006"/>
      <c r="L58" s="1006"/>
      <c r="M58" s="1006"/>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1006"/>
      <c r="AQ58" s="1006"/>
      <c r="AR58" s="1006"/>
      <c r="AS58" s="1006"/>
    </row>
    <row r="59">
      <c r="A59" s="1006"/>
      <c r="B59" s="1006"/>
      <c r="C59" s="1006"/>
      <c r="D59" s="1006"/>
      <c r="E59" s="1006"/>
      <c r="F59" s="1006"/>
      <c r="G59" s="1006"/>
      <c r="H59" s="1006"/>
      <c r="I59" s="1006"/>
      <c r="J59" s="1006"/>
      <c r="K59" s="1006"/>
      <c r="L59" s="1006"/>
      <c r="M59" s="1006"/>
      <c r="N59" s="1006"/>
      <c r="O59" s="1006"/>
      <c r="P59" s="1006"/>
      <c r="Q59" s="1006"/>
      <c r="R59" s="1006"/>
      <c r="S59" s="1006"/>
      <c r="T59" s="1006"/>
      <c r="U59" s="1006"/>
      <c r="V59" s="1006"/>
      <c r="W59" s="1006"/>
      <c r="X59" s="1006"/>
      <c r="Y59" s="1006"/>
      <c r="Z59" s="1006"/>
      <c r="AA59" s="1006"/>
      <c r="AB59" s="1006"/>
      <c r="AC59" s="1006"/>
      <c r="AD59" s="1006"/>
      <c r="AE59" s="1006"/>
      <c r="AF59" s="1006"/>
      <c r="AG59" s="1006"/>
      <c r="AH59" s="1006"/>
      <c r="AI59" s="1006"/>
      <c r="AJ59" s="1006"/>
      <c r="AK59" s="1006"/>
      <c r="AL59" s="1006"/>
      <c r="AM59" s="1006"/>
      <c r="AN59" s="1006"/>
      <c r="AO59" s="1006"/>
      <c r="AP59" s="1006"/>
      <c r="AQ59" s="1006"/>
      <c r="AR59" s="1006"/>
      <c r="AS59" s="1006"/>
    </row>
    <row r="60">
      <c r="A60" s="1006"/>
      <c r="B60" s="1006"/>
      <c r="C60" s="1006"/>
      <c r="D60" s="1006"/>
      <c r="E60" s="1006"/>
      <c r="F60" s="1006"/>
      <c r="G60" s="1006"/>
      <c r="H60" s="1006"/>
      <c r="I60" s="1006"/>
      <c r="J60" s="1006"/>
      <c r="K60" s="1006"/>
      <c r="L60" s="1006"/>
      <c r="M60" s="1006"/>
      <c r="N60" s="1006"/>
      <c r="O60" s="1006"/>
      <c r="P60" s="1006"/>
      <c r="Q60" s="1006"/>
      <c r="R60" s="1006"/>
      <c r="S60" s="1006"/>
      <c r="T60" s="1006"/>
      <c r="U60" s="1006"/>
      <c r="V60" s="1006"/>
      <c r="W60" s="1006"/>
      <c r="X60" s="1006"/>
      <c r="Y60" s="1006"/>
      <c r="Z60" s="1006"/>
      <c r="AA60" s="1006"/>
      <c r="AB60" s="1006"/>
      <c r="AC60" s="1006"/>
      <c r="AD60" s="1006"/>
      <c r="AE60" s="1006"/>
      <c r="AF60" s="1006"/>
      <c r="AG60" s="1006"/>
      <c r="AH60" s="1006"/>
      <c r="AI60" s="1006"/>
      <c r="AJ60" s="1006"/>
      <c r="AK60" s="1006"/>
      <c r="AL60" s="1006"/>
      <c r="AM60" s="1006"/>
      <c r="AN60" s="1006"/>
      <c r="AO60" s="1006"/>
      <c r="AP60" s="1006"/>
      <c r="AQ60" s="1006"/>
      <c r="AR60" s="1006"/>
      <c r="AS60" s="1006"/>
    </row>
    <row r="61">
      <c r="A61" s="1006"/>
      <c r="B61" s="1006"/>
      <c r="C61" s="1006"/>
      <c r="D61" s="1006"/>
      <c r="E61" s="1006"/>
      <c r="F61" s="1006"/>
      <c r="G61" s="1006"/>
      <c r="H61" s="1006"/>
      <c r="I61" s="1006"/>
      <c r="J61" s="1006"/>
      <c r="K61" s="1006"/>
      <c r="L61" s="1006"/>
      <c r="M61" s="1006"/>
      <c r="N61" s="1006"/>
      <c r="O61" s="1006"/>
      <c r="P61" s="1006"/>
      <c r="Q61" s="1006"/>
      <c r="R61" s="1006"/>
      <c r="S61" s="1006"/>
      <c r="T61" s="1006"/>
      <c r="U61" s="1006"/>
      <c r="V61" s="1006"/>
      <c r="W61" s="1006"/>
      <c r="X61" s="1006"/>
      <c r="Y61" s="1006"/>
      <c r="Z61" s="1006"/>
      <c r="AA61" s="1006"/>
      <c r="AB61" s="1006"/>
      <c r="AC61" s="1006"/>
      <c r="AD61" s="1006"/>
      <c r="AE61" s="1006"/>
      <c r="AF61" s="1006"/>
      <c r="AG61" s="1006"/>
      <c r="AH61" s="1006"/>
      <c r="AI61" s="1006"/>
      <c r="AJ61" s="1006"/>
      <c r="AK61" s="1006"/>
      <c r="AL61" s="1006"/>
      <c r="AM61" s="1006"/>
      <c r="AN61" s="1006"/>
      <c r="AO61" s="1006"/>
      <c r="AP61" s="1006"/>
      <c r="AQ61" s="1006"/>
      <c r="AR61" s="1006"/>
      <c r="AS61" s="1006"/>
    </row>
    <row r="62">
      <c r="A62" s="1006"/>
      <c r="B62" s="1006"/>
      <c r="C62" s="1006"/>
      <c r="D62" s="1006"/>
      <c r="E62" s="1006"/>
      <c r="F62" s="1006"/>
      <c r="G62" s="1006"/>
      <c r="H62" s="1006"/>
      <c r="I62" s="1006"/>
      <c r="J62" s="1006"/>
      <c r="K62" s="1006"/>
      <c r="L62" s="1006"/>
      <c r="M62" s="1006"/>
      <c r="N62" s="1006"/>
      <c r="O62" s="1006"/>
      <c r="P62" s="1006"/>
      <c r="Q62" s="1006"/>
      <c r="R62" s="1006"/>
      <c r="S62" s="1006"/>
      <c r="T62" s="1006"/>
      <c r="U62" s="1006"/>
      <c r="V62" s="1006"/>
      <c r="W62" s="1006"/>
      <c r="X62" s="1006"/>
      <c r="Y62" s="1006"/>
      <c r="Z62" s="1006"/>
      <c r="AA62" s="1006"/>
      <c r="AB62" s="1006"/>
      <c r="AC62" s="1006"/>
      <c r="AD62" s="1006"/>
      <c r="AE62" s="1006"/>
      <c r="AF62" s="1006"/>
      <c r="AG62" s="1006"/>
      <c r="AH62" s="1006"/>
      <c r="AI62" s="1006"/>
      <c r="AJ62" s="1006"/>
      <c r="AK62" s="1006"/>
      <c r="AL62" s="1006"/>
      <c r="AM62" s="1006"/>
      <c r="AN62" s="1006"/>
      <c r="AO62" s="1006"/>
      <c r="AP62" s="1006"/>
      <c r="AQ62" s="1006"/>
      <c r="AR62" s="1006"/>
      <c r="AS62" s="1006"/>
    </row>
    <row r="63">
      <c r="A63" s="1006"/>
      <c r="B63" s="1006"/>
      <c r="C63" s="1006"/>
      <c r="D63" s="1006"/>
      <c r="E63" s="1006"/>
      <c r="F63" s="1006"/>
      <c r="G63" s="1006"/>
      <c r="H63" s="1006"/>
      <c r="I63" s="1006"/>
      <c r="J63" s="1006"/>
      <c r="K63" s="1006"/>
      <c r="L63" s="1006"/>
      <c r="M63" s="1006"/>
      <c r="N63" s="1006"/>
      <c r="O63" s="1006"/>
      <c r="P63" s="1006"/>
      <c r="Q63" s="1006"/>
      <c r="R63" s="1006"/>
      <c r="S63" s="1006"/>
      <c r="T63" s="1006"/>
      <c r="U63" s="1006"/>
      <c r="V63" s="1006"/>
      <c r="W63" s="1006"/>
      <c r="X63" s="1006"/>
      <c r="Y63" s="1006"/>
      <c r="Z63" s="1006"/>
      <c r="AA63" s="1006"/>
      <c r="AB63" s="1006"/>
      <c r="AC63" s="1006"/>
      <c r="AD63" s="1006"/>
      <c r="AE63" s="1006"/>
      <c r="AF63" s="1006"/>
      <c r="AG63" s="1006"/>
      <c r="AH63" s="1006"/>
      <c r="AI63" s="1006"/>
      <c r="AJ63" s="1006"/>
      <c r="AK63" s="1006"/>
      <c r="AL63" s="1006"/>
      <c r="AM63" s="1006"/>
      <c r="AN63" s="1006"/>
      <c r="AO63" s="1006"/>
      <c r="AP63" s="1006"/>
      <c r="AQ63" s="1006"/>
      <c r="AR63" s="1006"/>
      <c r="AS63" s="1006"/>
    </row>
    <row r="64">
      <c r="A64" s="1006"/>
      <c r="B64" s="1006"/>
      <c r="C64" s="1006"/>
      <c r="D64" s="1006"/>
      <c r="E64" s="1006"/>
      <c r="F64" s="1006"/>
      <c r="G64" s="1006"/>
      <c r="H64" s="1006"/>
      <c r="I64" s="1006"/>
      <c r="J64" s="1006"/>
      <c r="K64" s="1006"/>
      <c r="L64" s="1006"/>
      <c r="M64" s="1006"/>
      <c r="N64" s="1006"/>
      <c r="O64" s="1006"/>
      <c r="P64" s="1006"/>
      <c r="Q64" s="1006"/>
      <c r="R64" s="1006"/>
      <c r="S64" s="1006"/>
      <c r="T64" s="1006"/>
      <c r="U64" s="1006"/>
      <c r="V64" s="1006"/>
      <c r="W64" s="1006"/>
      <c r="X64" s="1006"/>
      <c r="Y64" s="1006"/>
      <c r="Z64" s="1006"/>
      <c r="AA64" s="1006"/>
      <c r="AB64" s="1006"/>
      <c r="AC64" s="1006"/>
      <c r="AD64" s="1006"/>
      <c r="AE64" s="1006"/>
      <c r="AF64" s="1006"/>
      <c r="AG64" s="1006"/>
      <c r="AH64" s="1006"/>
      <c r="AI64" s="1006"/>
      <c r="AJ64" s="1006"/>
      <c r="AK64" s="1006"/>
      <c r="AL64" s="1006"/>
      <c r="AM64" s="1006"/>
      <c r="AN64" s="1006"/>
      <c r="AO64" s="1006"/>
      <c r="AP64" s="1006"/>
      <c r="AQ64" s="1006"/>
      <c r="AR64" s="1006"/>
      <c r="AS64" s="1006"/>
    </row>
    <row r="65">
      <c r="A65" s="1006"/>
      <c r="B65" s="1006"/>
      <c r="C65" s="1006"/>
      <c r="D65" s="1006"/>
      <c r="E65" s="1006"/>
      <c r="F65" s="1006"/>
      <c r="G65" s="1006"/>
      <c r="H65" s="1006"/>
      <c r="I65" s="1006"/>
      <c r="J65" s="1006"/>
      <c r="K65" s="1006"/>
      <c r="L65" s="1006"/>
      <c r="M65" s="1006"/>
      <c r="N65" s="1006"/>
      <c r="O65" s="1006"/>
      <c r="P65" s="1006"/>
      <c r="Q65" s="1006"/>
      <c r="R65" s="1006"/>
      <c r="S65" s="1006"/>
      <c r="T65" s="1006"/>
      <c r="U65" s="1006"/>
      <c r="V65" s="1006"/>
      <c r="W65" s="1006"/>
      <c r="X65" s="1006"/>
      <c r="Y65" s="1006"/>
      <c r="Z65" s="1006"/>
      <c r="AA65" s="1006"/>
      <c r="AB65" s="1006"/>
      <c r="AC65" s="1006"/>
      <c r="AD65" s="1006"/>
      <c r="AE65" s="1006"/>
      <c r="AF65" s="1006"/>
      <c r="AG65" s="1006"/>
      <c r="AH65" s="1006"/>
      <c r="AI65" s="1006"/>
      <c r="AJ65" s="1006"/>
      <c r="AK65" s="1006"/>
      <c r="AL65" s="1006"/>
      <c r="AM65" s="1006"/>
      <c r="AN65" s="1006"/>
      <c r="AO65" s="1006"/>
      <c r="AP65" s="1006"/>
      <c r="AQ65" s="1006"/>
      <c r="AR65" s="1006"/>
      <c r="AS65" s="1006"/>
    </row>
    <row r="66">
      <c r="A66" s="1006"/>
      <c r="B66" s="1006"/>
      <c r="C66" s="1006"/>
      <c r="D66" s="1006"/>
      <c r="E66" s="1006"/>
      <c r="F66" s="1006"/>
      <c r="G66" s="1006"/>
      <c r="H66" s="1006"/>
      <c r="I66" s="1006"/>
      <c r="J66" s="1006"/>
      <c r="K66" s="1006"/>
      <c r="L66" s="1006"/>
      <c r="M66" s="1006"/>
      <c r="N66" s="1006"/>
      <c r="O66" s="1006"/>
      <c r="P66" s="1006"/>
      <c r="Q66" s="1006"/>
      <c r="R66" s="1006"/>
      <c r="S66" s="1006"/>
      <c r="T66" s="1006"/>
      <c r="U66" s="1006"/>
      <c r="V66" s="1006"/>
      <c r="W66" s="1006"/>
      <c r="X66" s="1006"/>
      <c r="Y66" s="1006"/>
      <c r="Z66" s="1006"/>
      <c r="AA66" s="1006"/>
      <c r="AB66" s="1006"/>
      <c r="AC66" s="1006"/>
      <c r="AD66" s="1006"/>
      <c r="AE66" s="1006"/>
      <c r="AF66" s="1006"/>
      <c r="AG66" s="1006"/>
      <c r="AH66" s="1006"/>
      <c r="AI66" s="1006"/>
      <c r="AJ66" s="1006"/>
      <c r="AK66" s="1006"/>
      <c r="AL66" s="1006"/>
      <c r="AM66" s="1006"/>
      <c r="AN66" s="1006"/>
      <c r="AO66" s="1006"/>
      <c r="AP66" s="1006"/>
      <c r="AQ66" s="1006"/>
      <c r="AR66" s="1006"/>
      <c r="AS66" s="1006"/>
    </row>
    <row r="67">
      <c r="A67" s="1006"/>
      <c r="B67" s="1006"/>
      <c r="C67" s="1006"/>
      <c r="D67" s="1006"/>
      <c r="E67" s="1006"/>
      <c r="F67" s="1006"/>
      <c r="G67" s="1006"/>
      <c r="H67" s="1006"/>
      <c r="I67" s="1006"/>
      <c r="J67" s="1006"/>
      <c r="K67" s="1006"/>
      <c r="L67" s="1006"/>
      <c r="M67" s="1006"/>
      <c r="N67" s="1006"/>
      <c r="O67" s="1006"/>
      <c r="P67" s="1006"/>
      <c r="Q67" s="1006"/>
      <c r="R67" s="1006"/>
      <c r="S67" s="1006"/>
      <c r="T67" s="1006"/>
      <c r="U67" s="1006"/>
      <c r="V67" s="1006"/>
      <c r="W67" s="1006"/>
      <c r="X67" s="1006"/>
      <c r="Y67" s="1006"/>
      <c r="Z67" s="1006"/>
      <c r="AA67" s="1006"/>
      <c r="AB67" s="1006"/>
      <c r="AC67" s="1006"/>
      <c r="AD67" s="1006"/>
      <c r="AE67" s="1006"/>
      <c r="AF67" s="1006"/>
      <c r="AG67" s="1006"/>
      <c r="AH67" s="1006"/>
      <c r="AI67" s="1006"/>
      <c r="AJ67" s="1006"/>
      <c r="AK67" s="1006"/>
      <c r="AL67" s="1006"/>
      <c r="AM67" s="1006"/>
      <c r="AN67" s="1006"/>
      <c r="AO67" s="1006"/>
      <c r="AP67" s="1006"/>
      <c r="AQ67" s="1006"/>
      <c r="AR67" s="1006"/>
      <c r="AS67" s="1006"/>
    </row>
    <row r="68">
      <c r="A68" s="1006"/>
      <c r="B68" s="1006"/>
      <c r="C68" s="1006"/>
      <c r="D68" s="1006"/>
      <c r="E68" s="1006"/>
      <c r="F68" s="1006"/>
      <c r="G68" s="1006"/>
      <c r="H68" s="1006"/>
      <c r="I68" s="1006"/>
      <c r="J68" s="1006"/>
      <c r="K68" s="1006"/>
      <c r="L68" s="1006"/>
      <c r="M68" s="1006"/>
      <c r="N68" s="1006"/>
      <c r="O68" s="1006"/>
      <c r="P68" s="1006"/>
      <c r="Q68" s="1006"/>
      <c r="R68" s="1006"/>
      <c r="S68" s="1006"/>
      <c r="T68" s="1006"/>
      <c r="U68" s="1006"/>
      <c r="V68" s="1006"/>
      <c r="W68" s="1006"/>
      <c r="X68" s="1006"/>
      <c r="Y68" s="1006"/>
      <c r="Z68" s="1006"/>
      <c r="AA68" s="1006"/>
      <c r="AB68" s="1006"/>
      <c r="AC68" s="1006"/>
      <c r="AD68" s="1006"/>
      <c r="AE68" s="1006"/>
      <c r="AF68" s="1006"/>
      <c r="AG68" s="1006"/>
      <c r="AH68" s="1006"/>
      <c r="AI68" s="1006"/>
      <c r="AJ68" s="1006"/>
      <c r="AK68" s="1006"/>
      <c r="AL68" s="1006"/>
      <c r="AM68" s="1006"/>
      <c r="AN68" s="1006"/>
      <c r="AO68" s="1006"/>
      <c r="AP68" s="1006"/>
      <c r="AQ68" s="1006"/>
      <c r="AR68" s="1006"/>
      <c r="AS68" s="1006"/>
    </row>
    <row r="69">
      <c r="A69" s="1006"/>
      <c r="B69" s="1006"/>
      <c r="C69" s="1006"/>
      <c r="D69" s="1006"/>
      <c r="E69" s="1006"/>
      <c r="F69" s="1006"/>
      <c r="G69" s="1006"/>
      <c r="H69" s="1006"/>
      <c r="I69" s="1006"/>
      <c r="J69" s="1006"/>
      <c r="K69" s="1006"/>
      <c r="L69" s="1006"/>
      <c r="M69" s="1006"/>
      <c r="N69" s="1006"/>
      <c r="O69" s="1006"/>
      <c r="P69" s="1006"/>
      <c r="Q69" s="1006"/>
      <c r="R69" s="1006"/>
      <c r="S69" s="1006"/>
      <c r="T69" s="1006"/>
      <c r="U69" s="1006"/>
      <c r="V69" s="1006"/>
      <c r="W69" s="1006"/>
      <c r="X69" s="1006"/>
      <c r="Y69" s="1006"/>
      <c r="Z69" s="1006"/>
      <c r="AA69" s="1006"/>
      <c r="AB69" s="1006"/>
      <c r="AC69" s="1006"/>
      <c r="AD69" s="1006"/>
      <c r="AE69" s="1006"/>
      <c r="AF69" s="1006"/>
      <c r="AG69" s="1006"/>
      <c r="AH69" s="1006"/>
      <c r="AI69" s="1006"/>
      <c r="AJ69" s="1006"/>
      <c r="AK69" s="1006"/>
      <c r="AL69" s="1006"/>
      <c r="AM69" s="1006"/>
      <c r="AN69" s="1006"/>
      <c r="AO69" s="1006"/>
      <c r="AP69" s="1006"/>
      <c r="AQ69" s="1006"/>
      <c r="AR69" s="1006"/>
      <c r="AS69" s="1006"/>
    </row>
    <row r="70">
      <c r="A70" s="1006"/>
      <c r="B70" s="1006"/>
      <c r="C70" s="1006"/>
      <c r="D70" s="1006"/>
      <c r="E70" s="1006"/>
      <c r="F70" s="1006"/>
      <c r="G70" s="1006"/>
      <c r="H70" s="1006"/>
      <c r="I70" s="1006"/>
      <c r="J70" s="1006"/>
      <c r="K70" s="1006"/>
      <c r="L70" s="1006"/>
      <c r="M70" s="1006"/>
      <c r="N70" s="1006"/>
      <c r="O70" s="1006"/>
      <c r="P70" s="1006"/>
      <c r="Q70" s="1006"/>
      <c r="R70" s="1006"/>
      <c r="S70" s="1006"/>
      <c r="T70" s="1006"/>
      <c r="U70" s="1006"/>
      <c r="V70" s="1006"/>
      <c r="W70" s="1006"/>
      <c r="X70" s="1006"/>
      <c r="Y70" s="1006"/>
      <c r="Z70" s="1006"/>
      <c r="AA70" s="1006"/>
      <c r="AB70" s="1006"/>
      <c r="AC70" s="1006"/>
      <c r="AD70" s="1006"/>
      <c r="AE70" s="1006"/>
      <c r="AF70" s="1006"/>
      <c r="AG70" s="1006"/>
      <c r="AH70" s="1006"/>
      <c r="AI70" s="1006"/>
      <c r="AJ70" s="1006"/>
      <c r="AK70" s="1006"/>
      <c r="AL70" s="1006"/>
      <c r="AM70" s="1006"/>
      <c r="AN70" s="1006"/>
      <c r="AO70" s="1006"/>
      <c r="AP70" s="1006"/>
      <c r="AQ70" s="1006"/>
      <c r="AR70" s="1006"/>
      <c r="AS70" s="1006"/>
    </row>
    <row r="71">
      <c r="A71" s="1006"/>
      <c r="B71" s="1006"/>
      <c r="C71" s="1006"/>
      <c r="D71" s="1006"/>
      <c r="E71" s="1006"/>
      <c r="F71" s="1006"/>
      <c r="G71" s="1006"/>
      <c r="H71" s="1006"/>
      <c r="I71" s="1006"/>
      <c r="J71" s="1006"/>
      <c r="K71" s="1006"/>
      <c r="L71" s="1006"/>
      <c r="M71" s="1006"/>
      <c r="N71" s="1006"/>
      <c r="O71" s="1006"/>
      <c r="P71" s="1006"/>
      <c r="Q71" s="1006"/>
      <c r="R71" s="1006"/>
      <c r="S71" s="1006"/>
      <c r="T71" s="1006"/>
      <c r="U71" s="1006"/>
      <c r="V71" s="1006"/>
      <c r="W71" s="1006"/>
      <c r="X71" s="1006"/>
      <c r="Y71" s="1006"/>
      <c r="Z71" s="1006"/>
      <c r="AA71" s="1006"/>
      <c r="AB71" s="1006"/>
      <c r="AC71" s="1006"/>
      <c r="AD71" s="1006"/>
      <c r="AE71" s="1006"/>
      <c r="AF71" s="1006"/>
      <c r="AG71" s="1006"/>
      <c r="AH71" s="1006"/>
      <c r="AI71" s="1006"/>
      <c r="AJ71" s="1006"/>
      <c r="AK71" s="1006"/>
      <c r="AL71" s="1006"/>
      <c r="AM71" s="1006"/>
      <c r="AN71" s="1006"/>
      <c r="AO71" s="1006"/>
      <c r="AP71" s="1006"/>
      <c r="AQ71" s="1006"/>
      <c r="AR71" s="1006"/>
      <c r="AS71" s="1006"/>
    </row>
    <row r="72">
      <c r="A72" s="1006"/>
      <c r="B72" s="1006"/>
      <c r="C72" s="1006"/>
      <c r="D72" s="1006"/>
      <c r="E72" s="1006"/>
      <c r="F72" s="1006"/>
      <c r="G72" s="1006"/>
      <c r="H72" s="1006"/>
      <c r="I72" s="1006"/>
      <c r="J72" s="1006"/>
      <c r="K72" s="1006"/>
      <c r="L72" s="1006"/>
      <c r="M72" s="1006"/>
      <c r="N72" s="1006"/>
      <c r="O72" s="1006"/>
      <c r="P72" s="1006"/>
      <c r="Q72" s="1006"/>
      <c r="R72" s="1006"/>
      <c r="S72" s="1006"/>
      <c r="T72" s="1006"/>
      <c r="U72" s="1006"/>
      <c r="V72" s="1006"/>
      <c r="W72" s="1006"/>
      <c r="X72" s="1006"/>
      <c r="Y72" s="1006"/>
      <c r="Z72" s="1006"/>
      <c r="AA72" s="1006"/>
      <c r="AB72" s="1006"/>
      <c r="AC72" s="1006"/>
      <c r="AD72" s="1006"/>
      <c r="AE72" s="1006"/>
      <c r="AF72" s="1006"/>
      <c r="AG72" s="1006"/>
      <c r="AH72" s="1006"/>
      <c r="AI72" s="1006"/>
      <c r="AJ72" s="1006"/>
      <c r="AK72" s="1006"/>
      <c r="AL72" s="1006"/>
      <c r="AM72" s="1006"/>
      <c r="AN72" s="1006"/>
      <c r="AO72" s="1006"/>
      <c r="AP72" s="1006"/>
      <c r="AQ72" s="1006"/>
      <c r="AR72" s="1006"/>
      <c r="AS72" s="1006"/>
    </row>
    <row r="73">
      <c r="A73" s="1006"/>
      <c r="B73" s="1006"/>
      <c r="C73" s="1006"/>
      <c r="D73" s="1006"/>
      <c r="E73" s="1006"/>
      <c r="F73" s="1006"/>
      <c r="G73" s="1006"/>
      <c r="H73" s="1006"/>
      <c r="I73" s="1006"/>
      <c r="J73" s="1006"/>
      <c r="K73" s="1006"/>
      <c r="L73" s="1006"/>
      <c r="M73" s="1006"/>
      <c r="N73" s="1006"/>
      <c r="O73" s="1006"/>
      <c r="P73" s="1006"/>
      <c r="Q73" s="1006"/>
      <c r="R73" s="1006"/>
      <c r="S73" s="1006"/>
      <c r="T73" s="1006"/>
      <c r="U73" s="1006"/>
      <c r="V73" s="1006"/>
      <c r="W73" s="1006"/>
      <c r="X73" s="1006"/>
      <c r="Y73" s="1006"/>
      <c r="Z73" s="1006"/>
      <c r="AA73" s="1006"/>
      <c r="AB73" s="1006"/>
      <c r="AC73" s="1006"/>
      <c r="AD73" s="1006"/>
      <c r="AE73" s="1006"/>
      <c r="AF73" s="1006"/>
      <c r="AG73" s="1006"/>
      <c r="AH73" s="1006"/>
      <c r="AI73" s="1006"/>
      <c r="AJ73" s="1006"/>
      <c r="AK73" s="1006"/>
      <c r="AL73" s="1006"/>
      <c r="AM73" s="1006"/>
      <c r="AN73" s="1006"/>
      <c r="AO73" s="1006"/>
      <c r="AP73" s="1006"/>
      <c r="AQ73" s="1006"/>
      <c r="AR73" s="1006"/>
      <c r="AS73" s="1006"/>
    </row>
    <row r="74">
      <c r="A74" s="1006"/>
      <c r="B74" s="1006"/>
      <c r="C74" s="1006"/>
      <c r="D74" s="1006"/>
      <c r="E74" s="1006"/>
      <c r="F74" s="1006"/>
      <c r="G74" s="1006"/>
      <c r="H74" s="1006"/>
      <c r="I74" s="1006"/>
      <c r="J74" s="1006"/>
      <c r="K74" s="1006"/>
      <c r="L74" s="1006"/>
      <c r="M74" s="1006"/>
      <c r="N74" s="1006"/>
      <c r="O74" s="1006"/>
      <c r="P74" s="1006"/>
      <c r="Q74" s="1006"/>
      <c r="R74" s="1006"/>
      <c r="S74" s="1006"/>
      <c r="T74" s="1006"/>
      <c r="U74" s="1006"/>
      <c r="V74" s="1006"/>
      <c r="W74" s="1006"/>
      <c r="X74" s="1006"/>
      <c r="Y74" s="1006"/>
      <c r="Z74" s="1006"/>
      <c r="AA74" s="1006"/>
      <c r="AB74" s="1006"/>
      <c r="AC74" s="1006"/>
      <c r="AD74" s="1006"/>
      <c r="AE74" s="1006"/>
      <c r="AF74" s="1006"/>
      <c r="AG74" s="1006"/>
      <c r="AH74" s="1006"/>
      <c r="AI74" s="1006"/>
      <c r="AJ74" s="1006"/>
      <c r="AK74" s="1006"/>
      <c r="AL74" s="1006"/>
      <c r="AM74" s="1006"/>
      <c r="AN74" s="1006"/>
      <c r="AO74" s="1006"/>
      <c r="AP74" s="1006"/>
      <c r="AQ74" s="1006"/>
      <c r="AR74" s="1006"/>
      <c r="AS74" s="1006"/>
    </row>
    <row r="75">
      <c r="A75" s="1006"/>
      <c r="B75" s="1006"/>
      <c r="C75" s="1006"/>
      <c r="D75" s="1006"/>
      <c r="E75" s="1006"/>
      <c r="F75" s="1006"/>
      <c r="G75" s="1006"/>
      <c r="H75" s="1006"/>
      <c r="I75" s="1006"/>
      <c r="J75" s="1006"/>
      <c r="K75" s="1006"/>
      <c r="L75" s="1006"/>
      <c r="M75" s="1006"/>
      <c r="N75" s="1006"/>
      <c r="O75" s="1006"/>
      <c r="P75" s="1006"/>
      <c r="Q75" s="1006"/>
      <c r="R75" s="1006"/>
      <c r="S75" s="1006"/>
      <c r="T75" s="1006"/>
      <c r="U75" s="1006"/>
      <c r="V75" s="1006"/>
      <c r="W75" s="1006"/>
      <c r="X75" s="1006"/>
      <c r="Y75" s="1006"/>
      <c r="Z75" s="1006"/>
      <c r="AA75" s="1006"/>
      <c r="AB75" s="1006"/>
      <c r="AC75" s="1006"/>
      <c r="AD75" s="1006"/>
      <c r="AE75" s="1006"/>
      <c r="AF75" s="1006"/>
      <c r="AG75" s="1006"/>
      <c r="AH75" s="1006"/>
      <c r="AI75" s="1006"/>
      <c r="AJ75" s="1006"/>
      <c r="AK75" s="1006"/>
      <c r="AL75" s="1006"/>
      <c r="AM75" s="1006"/>
      <c r="AN75" s="1006"/>
      <c r="AO75" s="1006"/>
      <c r="AP75" s="1006"/>
      <c r="AQ75" s="1006"/>
      <c r="AR75" s="1006"/>
      <c r="AS75" s="1006"/>
    </row>
    <row r="76">
      <c r="A76" s="1006"/>
      <c r="B76" s="1006"/>
      <c r="C76" s="1006"/>
      <c r="D76" s="1006"/>
      <c r="E76" s="1006"/>
      <c r="F76" s="1006"/>
      <c r="G76" s="1006"/>
      <c r="H76" s="1006"/>
      <c r="I76" s="1006"/>
      <c r="J76" s="1006"/>
      <c r="K76" s="1006"/>
      <c r="L76" s="1006"/>
      <c r="M76" s="1006"/>
      <c r="N76" s="1006"/>
      <c r="O76" s="1006"/>
      <c r="P76" s="1006"/>
      <c r="Q76" s="1006"/>
      <c r="R76" s="1006"/>
      <c r="S76" s="1006"/>
      <c r="T76" s="1006"/>
      <c r="U76" s="1006"/>
      <c r="V76" s="1006"/>
      <c r="W76" s="1006"/>
      <c r="X76" s="1006"/>
      <c r="Y76" s="1006"/>
      <c r="Z76" s="1006"/>
      <c r="AA76" s="1006"/>
      <c r="AB76" s="1006"/>
      <c r="AC76" s="1006"/>
      <c r="AD76" s="1006"/>
      <c r="AE76" s="1006"/>
      <c r="AF76" s="1006"/>
      <c r="AG76" s="1006"/>
      <c r="AH76" s="1006"/>
      <c r="AI76" s="1006"/>
      <c r="AJ76" s="1006"/>
      <c r="AK76" s="1006"/>
      <c r="AL76" s="1006"/>
      <c r="AM76" s="1006"/>
      <c r="AN76" s="1006"/>
      <c r="AO76" s="1006"/>
      <c r="AP76" s="1006"/>
      <c r="AQ76" s="1006"/>
      <c r="AR76" s="1006"/>
      <c r="AS76" s="1006"/>
    </row>
    <row r="77">
      <c r="A77" s="1006"/>
      <c r="B77" s="1006"/>
      <c r="C77" s="1006"/>
      <c r="D77" s="1006"/>
      <c r="E77" s="1006"/>
      <c r="F77" s="1006"/>
      <c r="G77" s="1006"/>
      <c r="H77" s="1006"/>
      <c r="I77" s="1006"/>
      <c r="J77" s="1006"/>
      <c r="K77" s="1006"/>
      <c r="L77" s="1006"/>
      <c r="M77" s="1006"/>
      <c r="N77" s="1006"/>
      <c r="O77" s="1006"/>
      <c r="P77" s="1006"/>
      <c r="Q77" s="1006"/>
      <c r="R77" s="1006"/>
      <c r="S77" s="1006"/>
      <c r="T77" s="1006"/>
      <c r="U77" s="1006"/>
      <c r="V77" s="1006"/>
      <c r="W77" s="1006"/>
      <c r="X77" s="1006"/>
      <c r="Y77" s="1006"/>
      <c r="Z77" s="1006"/>
      <c r="AA77" s="1006"/>
      <c r="AB77" s="1006"/>
      <c r="AC77" s="1006"/>
      <c r="AD77" s="1006"/>
      <c r="AE77" s="1006"/>
      <c r="AF77" s="1006"/>
      <c r="AG77" s="1006"/>
      <c r="AH77" s="1006"/>
      <c r="AI77" s="1006"/>
      <c r="AJ77" s="1006"/>
      <c r="AK77" s="1006"/>
      <c r="AL77" s="1006"/>
      <c r="AM77" s="1006"/>
      <c r="AN77" s="1006"/>
      <c r="AO77" s="1006"/>
      <c r="AP77" s="1006"/>
      <c r="AQ77" s="1006"/>
      <c r="AR77" s="1006"/>
      <c r="AS77" s="1006"/>
    </row>
    <row r="78">
      <c r="A78" s="1006"/>
      <c r="B78" s="1006"/>
      <c r="C78" s="1006"/>
      <c r="D78" s="1006"/>
      <c r="E78" s="1006"/>
      <c r="F78" s="1006"/>
      <c r="G78" s="1006"/>
      <c r="H78" s="1006"/>
      <c r="I78" s="1006"/>
      <c r="J78" s="1006"/>
      <c r="K78" s="1006"/>
      <c r="L78" s="1006"/>
      <c r="M78" s="1006"/>
      <c r="N78" s="1006"/>
      <c r="O78" s="1006"/>
      <c r="P78" s="1006"/>
      <c r="Q78" s="1006"/>
      <c r="R78" s="1006"/>
      <c r="S78" s="1006"/>
      <c r="T78" s="1006"/>
      <c r="U78" s="1006"/>
      <c r="V78" s="1006"/>
      <c r="W78" s="1006"/>
      <c r="X78" s="1006"/>
      <c r="Y78" s="1006"/>
      <c r="Z78" s="1006"/>
      <c r="AA78" s="1006"/>
      <c r="AB78" s="1006"/>
      <c r="AC78" s="1006"/>
      <c r="AD78" s="1006"/>
      <c r="AE78" s="1006"/>
      <c r="AF78" s="1006"/>
      <c r="AG78" s="1006"/>
      <c r="AH78" s="1006"/>
      <c r="AI78" s="1006"/>
      <c r="AJ78" s="1006"/>
      <c r="AK78" s="1006"/>
      <c r="AL78" s="1006"/>
      <c r="AM78" s="1006"/>
      <c r="AN78" s="1006"/>
      <c r="AO78" s="1006"/>
      <c r="AP78" s="1006"/>
      <c r="AQ78" s="1006"/>
      <c r="AR78" s="1006"/>
      <c r="AS78" s="1006"/>
    </row>
    <row r="79">
      <c r="A79" s="1006"/>
      <c r="B79" s="1006"/>
      <c r="C79" s="1006"/>
      <c r="D79" s="1006"/>
      <c r="E79" s="1006"/>
      <c r="F79" s="1006"/>
      <c r="G79" s="1006"/>
      <c r="H79" s="1006"/>
      <c r="I79" s="1006"/>
      <c r="J79" s="1006"/>
      <c r="K79" s="1006"/>
      <c r="L79" s="1006"/>
      <c r="M79" s="1006"/>
      <c r="N79" s="1006"/>
      <c r="O79" s="1006"/>
      <c r="P79" s="1006"/>
      <c r="Q79" s="1006"/>
      <c r="R79" s="1006"/>
      <c r="S79" s="1006"/>
      <c r="T79" s="1006"/>
      <c r="U79" s="1006"/>
      <c r="V79" s="1006"/>
      <c r="W79" s="1006"/>
      <c r="X79" s="1006"/>
      <c r="Y79" s="1006"/>
      <c r="Z79" s="1006"/>
      <c r="AA79" s="1006"/>
      <c r="AB79" s="1006"/>
      <c r="AC79" s="1006"/>
      <c r="AD79" s="1006"/>
      <c r="AE79" s="1006"/>
      <c r="AF79" s="1006"/>
      <c r="AG79" s="1006"/>
      <c r="AH79" s="1006"/>
      <c r="AI79" s="1006"/>
      <c r="AJ79" s="1006"/>
      <c r="AK79" s="1006"/>
      <c r="AL79" s="1006"/>
      <c r="AM79" s="1006"/>
      <c r="AN79" s="1006"/>
      <c r="AO79" s="1006"/>
      <c r="AP79" s="1006"/>
      <c r="AQ79" s="1006"/>
      <c r="AR79" s="1006"/>
      <c r="AS79" s="1006"/>
    </row>
    <row r="80">
      <c r="A80" s="1006"/>
      <c r="B80" s="1006"/>
      <c r="C80" s="1006"/>
      <c r="D80" s="1006"/>
      <c r="E80" s="1006"/>
      <c r="F80" s="1006"/>
      <c r="G80" s="1006"/>
      <c r="H80" s="1006"/>
      <c r="I80" s="1006"/>
      <c r="J80" s="1006"/>
      <c r="K80" s="1006"/>
      <c r="L80" s="1006"/>
      <c r="M80" s="1006"/>
      <c r="N80" s="1006"/>
      <c r="O80" s="1006"/>
      <c r="P80" s="1006"/>
      <c r="Q80" s="1006"/>
      <c r="R80" s="1006"/>
      <c r="S80" s="1006"/>
      <c r="T80" s="1006"/>
      <c r="U80" s="1006"/>
      <c r="V80" s="1006"/>
      <c r="W80" s="1006"/>
      <c r="X80" s="1006"/>
      <c r="Y80" s="1006"/>
      <c r="Z80" s="1006"/>
      <c r="AA80" s="1006"/>
      <c r="AB80" s="1006"/>
      <c r="AC80" s="1006"/>
      <c r="AD80" s="1006"/>
      <c r="AE80" s="1006"/>
      <c r="AF80" s="1006"/>
      <c r="AG80" s="1006"/>
      <c r="AH80" s="1006"/>
      <c r="AI80" s="1006"/>
      <c r="AJ80" s="1006"/>
      <c r="AK80" s="1006"/>
      <c r="AL80" s="1006"/>
      <c r="AM80" s="1006"/>
      <c r="AN80" s="1006"/>
      <c r="AO80" s="1006"/>
      <c r="AP80" s="1006"/>
      <c r="AQ80" s="1006"/>
      <c r="AR80" s="1006"/>
      <c r="AS80" s="1006"/>
    </row>
    <row r="81">
      <c r="A81" s="1006"/>
      <c r="B81" s="1006"/>
      <c r="C81" s="1006"/>
      <c r="D81" s="1006"/>
      <c r="E81" s="1006"/>
      <c r="F81" s="1006"/>
      <c r="G81" s="1006"/>
      <c r="H81" s="1006"/>
      <c r="I81" s="1006"/>
      <c r="J81" s="1006"/>
      <c r="K81" s="1006"/>
      <c r="L81" s="1006"/>
      <c r="M81" s="1006"/>
      <c r="N81" s="1006"/>
      <c r="O81" s="1006"/>
      <c r="P81" s="1006"/>
      <c r="Q81" s="1006"/>
      <c r="R81" s="1006"/>
      <c r="S81" s="1006"/>
      <c r="T81" s="1006"/>
      <c r="U81" s="1006"/>
      <c r="V81" s="1006"/>
      <c r="W81" s="1006"/>
      <c r="X81" s="1006"/>
      <c r="Y81" s="1006"/>
      <c r="Z81" s="1006"/>
      <c r="AA81" s="1006"/>
      <c r="AB81" s="1006"/>
      <c r="AC81" s="1006"/>
      <c r="AD81" s="1006"/>
      <c r="AE81" s="1006"/>
      <c r="AF81" s="1006"/>
      <c r="AG81" s="1006"/>
      <c r="AH81" s="1006"/>
      <c r="AI81" s="1006"/>
      <c r="AJ81" s="1006"/>
      <c r="AK81" s="1006"/>
      <c r="AL81" s="1006"/>
      <c r="AM81" s="1006"/>
      <c r="AN81" s="1006"/>
      <c r="AO81" s="1006"/>
      <c r="AP81" s="1006"/>
      <c r="AQ81" s="1006"/>
      <c r="AR81" s="1006"/>
      <c r="AS81" s="1006"/>
    </row>
    <row r="82">
      <c r="A82" s="1006"/>
      <c r="B82" s="1006"/>
      <c r="C82" s="1006"/>
      <c r="D82" s="1006"/>
      <c r="E82" s="1006"/>
      <c r="F82" s="1006"/>
      <c r="G82" s="1006"/>
      <c r="H82" s="1006"/>
      <c r="I82" s="1006"/>
      <c r="J82" s="1006"/>
      <c r="K82" s="1006"/>
      <c r="L82" s="1006"/>
      <c r="M82" s="1006"/>
      <c r="N82" s="1006"/>
      <c r="O82" s="1006"/>
      <c r="P82" s="1006"/>
      <c r="Q82" s="1006"/>
      <c r="R82" s="1006"/>
      <c r="S82" s="1006"/>
      <c r="T82" s="1006"/>
      <c r="U82" s="1006"/>
      <c r="V82" s="1006"/>
      <c r="W82" s="1006"/>
      <c r="X82" s="1006"/>
      <c r="Y82" s="1006"/>
      <c r="Z82" s="1006"/>
      <c r="AA82" s="1006"/>
      <c r="AB82" s="1006"/>
      <c r="AC82" s="1006"/>
      <c r="AD82" s="1006"/>
      <c r="AE82" s="1006"/>
      <c r="AF82" s="1006"/>
      <c r="AG82" s="1006"/>
      <c r="AH82" s="1006"/>
      <c r="AI82" s="1006"/>
      <c r="AJ82" s="1006"/>
      <c r="AK82" s="1006"/>
      <c r="AL82" s="1006"/>
      <c r="AM82" s="1006"/>
      <c r="AN82" s="1006"/>
      <c r="AO82" s="1006"/>
      <c r="AP82" s="1006"/>
      <c r="AQ82" s="1006"/>
      <c r="AR82" s="1006"/>
      <c r="AS82" s="1006"/>
    </row>
    <row r="83">
      <c r="A83" s="1006"/>
      <c r="B83" s="1006"/>
      <c r="C83" s="1006"/>
      <c r="D83" s="1006"/>
      <c r="E83" s="1006"/>
      <c r="F83" s="1006"/>
      <c r="G83" s="1006"/>
      <c r="H83" s="1006"/>
      <c r="I83" s="1006"/>
      <c r="J83" s="1006"/>
      <c r="K83" s="1006"/>
      <c r="L83" s="1006"/>
      <c r="M83" s="1006"/>
      <c r="N83" s="1006"/>
      <c r="O83" s="1006"/>
      <c r="P83" s="1006"/>
      <c r="Q83" s="1006"/>
      <c r="R83" s="1006"/>
      <c r="S83" s="1006"/>
      <c r="T83" s="1006"/>
      <c r="U83" s="1006"/>
      <c r="V83" s="1006"/>
      <c r="W83" s="1006"/>
      <c r="X83" s="1006"/>
      <c r="Y83" s="1006"/>
      <c r="Z83" s="1006"/>
      <c r="AA83" s="1006"/>
      <c r="AB83" s="1006"/>
      <c r="AC83" s="1006"/>
      <c r="AD83" s="1006"/>
      <c r="AE83" s="1006"/>
      <c r="AF83" s="1006"/>
      <c r="AG83" s="1006"/>
      <c r="AH83" s="1006"/>
      <c r="AI83" s="1006"/>
      <c r="AJ83" s="1006"/>
      <c r="AK83" s="1006"/>
      <c r="AL83" s="1006"/>
      <c r="AM83" s="1006"/>
      <c r="AN83" s="1006"/>
      <c r="AO83" s="1006"/>
      <c r="AP83" s="1006"/>
      <c r="AQ83" s="1006"/>
      <c r="AR83" s="1006"/>
      <c r="AS83" s="1006"/>
    </row>
    <row r="84">
      <c r="A84" s="1006"/>
      <c r="B84" s="1006"/>
      <c r="C84" s="1006"/>
      <c r="D84" s="1006"/>
      <c r="E84" s="1006"/>
      <c r="F84" s="1006"/>
      <c r="G84" s="1006"/>
      <c r="H84" s="1006"/>
      <c r="I84" s="1006"/>
      <c r="J84" s="1006"/>
      <c r="K84" s="1006"/>
      <c r="L84" s="1006"/>
      <c r="M84" s="1006"/>
      <c r="N84" s="1006"/>
      <c r="O84" s="1006"/>
      <c r="P84" s="1006"/>
      <c r="Q84" s="1006"/>
      <c r="R84" s="1006"/>
      <c r="S84" s="1006"/>
      <c r="T84" s="1006"/>
      <c r="U84" s="1006"/>
      <c r="V84" s="1006"/>
      <c r="W84" s="1006"/>
      <c r="X84" s="1006"/>
      <c r="Y84" s="1006"/>
      <c r="Z84" s="1006"/>
      <c r="AA84" s="1006"/>
      <c r="AB84" s="1006"/>
      <c r="AC84" s="1006"/>
      <c r="AD84" s="1006"/>
      <c r="AE84" s="1006"/>
      <c r="AF84" s="1006"/>
      <c r="AG84" s="1006"/>
      <c r="AH84" s="1006"/>
      <c r="AI84" s="1006"/>
      <c r="AJ84" s="1006"/>
      <c r="AK84" s="1006"/>
      <c r="AL84" s="1006"/>
      <c r="AM84" s="1006"/>
      <c r="AN84" s="1006"/>
      <c r="AO84" s="1006"/>
      <c r="AP84" s="1006"/>
      <c r="AQ84" s="1006"/>
      <c r="AR84" s="1006"/>
      <c r="AS84" s="1006"/>
    </row>
    <row r="85">
      <c r="A85" s="1006"/>
      <c r="B85" s="1006"/>
      <c r="C85" s="1006"/>
      <c r="D85" s="1006"/>
      <c r="E85" s="1006"/>
      <c r="F85" s="1006"/>
      <c r="G85" s="1006"/>
      <c r="H85" s="1006"/>
      <c r="I85" s="1006"/>
      <c r="J85" s="1006"/>
      <c r="K85" s="1006"/>
      <c r="L85" s="1006"/>
      <c r="M85" s="1006"/>
      <c r="N85" s="1006"/>
      <c r="O85" s="1006"/>
      <c r="P85" s="1006"/>
      <c r="Q85" s="1006"/>
      <c r="R85" s="1006"/>
      <c r="S85" s="1006"/>
      <c r="T85" s="1006"/>
      <c r="U85" s="1006"/>
      <c r="V85" s="1006"/>
      <c r="W85" s="1006"/>
      <c r="X85" s="1006"/>
      <c r="Y85" s="1006"/>
      <c r="Z85" s="1006"/>
      <c r="AA85" s="1006"/>
      <c r="AB85" s="1006"/>
      <c r="AC85" s="1006"/>
      <c r="AD85" s="1006"/>
      <c r="AE85" s="1006"/>
      <c r="AF85" s="1006"/>
      <c r="AG85" s="1006"/>
      <c r="AH85" s="1006"/>
      <c r="AI85" s="1006"/>
      <c r="AJ85" s="1006"/>
      <c r="AK85" s="1006"/>
      <c r="AL85" s="1006"/>
      <c r="AM85" s="1006"/>
      <c r="AN85" s="1006"/>
      <c r="AO85" s="1006"/>
      <c r="AP85" s="1006"/>
      <c r="AQ85" s="1006"/>
      <c r="AR85" s="1006"/>
      <c r="AS85" s="1006"/>
    </row>
    <row r="86">
      <c r="A86" s="1006"/>
      <c r="B86" s="1006"/>
      <c r="C86" s="1006"/>
      <c r="D86" s="1006"/>
      <c r="E86" s="1006"/>
      <c r="F86" s="1006"/>
      <c r="G86" s="1006"/>
      <c r="H86" s="1006"/>
      <c r="I86" s="1006"/>
      <c r="J86" s="1006"/>
      <c r="K86" s="1006"/>
      <c r="L86" s="1006"/>
      <c r="M86" s="1006"/>
      <c r="N86" s="1006"/>
      <c r="O86" s="1006"/>
      <c r="P86" s="1006"/>
      <c r="Q86" s="1006"/>
      <c r="R86" s="1006"/>
      <c r="S86" s="1006"/>
      <c r="T86" s="1006"/>
      <c r="U86" s="1006"/>
      <c r="V86" s="1006"/>
      <c r="W86" s="1006"/>
      <c r="X86" s="1006"/>
      <c r="Y86" s="1006"/>
      <c r="Z86" s="1006"/>
      <c r="AA86" s="1006"/>
      <c r="AB86" s="1006"/>
      <c r="AC86" s="1006"/>
      <c r="AD86" s="1006"/>
      <c r="AE86" s="1006"/>
      <c r="AF86" s="1006"/>
      <c r="AG86" s="1006"/>
      <c r="AH86" s="1006"/>
      <c r="AI86" s="1006"/>
      <c r="AJ86" s="1006"/>
      <c r="AK86" s="1006"/>
      <c r="AL86" s="1006"/>
      <c r="AM86" s="1006"/>
      <c r="AN86" s="1006"/>
      <c r="AO86" s="1006"/>
      <c r="AP86" s="1006"/>
      <c r="AQ86" s="1006"/>
      <c r="AR86" s="1006"/>
      <c r="AS86" s="1006"/>
    </row>
    <row r="87">
      <c r="A87" s="1006"/>
      <c r="B87" s="1006"/>
      <c r="C87" s="1006"/>
      <c r="D87" s="1006"/>
      <c r="E87" s="1006"/>
      <c r="F87" s="1006"/>
      <c r="G87" s="1006"/>
      <c r="H87" s="1006"/>
      <c r="I87" s="1006"/>
      <c r="J87" s="1006"/>
      <c r="K87" s="1006"/>
      <c r="L87" s="1006"/>
      <c r="M87" s="1006"/>
      <c r="N87" s="1006"/>
      <c r="O87" s="1006"/>
      <c r="P87" s="1006"/>
      <c r="Q87" s="1006"/>
      <c r="R87" s="1006"/>
      <c r="S87" s="1006"/>
      <c r="T87" s="1006"/>
      <c r="U87" s="1006"/>
      <c r="V87" s="1006"/>
      <c r="W87" s="1006"/>
      <c r="X87" s="1006"/>
      <c r="Y87" s="1006"/>
      <c r="Z87" s="1006"/>
      <c r="AA87" s="1006"/>
      <c r="AB87" s="1006"/>
      <c r="AC87" s="1006"/>
      <c r="AD87" s="1006"/>
      <c r="AE87" s="1006"/>
      <c r="AF87" s="1006"/>
      <c r="AG87" s="1006"/>
      <c r="AH87" s="1006"/>
      <c r="AI87" s="1006"/>
      <c r="AJ87" s="1006"/>
      <c r="AK87" s="1006"/>
      <c r="AL87" s="1006"/>
      <c r="AM87" s="1006"/>
      <c r="AN87" s="1006"/>
      <c r="AO87" s="1006"/>
      <c r="AP87" s="1006"/>
      <c r="AQ87" s="1006"/>
      <c r="AR87" s="1006"/>
      <c r="AS87" s="1006"/>
    </row>
    <row r="88">
      <c r="A88" s="1006"/>
      <c r="B88" s="1006"/>
      <c r="C88" s="1006"/>
      <c r="D88" s="1006"/>
      <c r="E88" s="1006"/>
      <c r="F88" s="1006"/>
      <c r="G88" s="1006"/>
      <c r="H88" s="1006"/>
      <c r="I88" s="1006"/>
      <c r="J88" s="1006"/>
      <c r="K88" s="1006"/>
      <c r="L88" s="1006"/>
      <c r="M88" s="1006"/>
      <c r="N88" s="1006"/>
      <c r="O88" s="1006"/>
      <c r="P88" s="1006"/>
      <c r="Q88" s="1006"/>
      <c r="R88" s="1006"/>
      <c r="S88" s="1006"/>
      <c r="T88" s="1006"/>
      <c r="U88" s="1006"/>
      <c r="V88" s="1006"/>
      <c r="W88" s="1006"/>
      <c r="X88" s="1006"/>
      <c r="Y88" s="1006"/>
      <c r="Z88" s="1006"/>
      <c r="AA88" s="1006"/>
      <c r="AB88" s="1006"/>
      <c r="AC88" s="1006"/>
      <c r="AD88" s="1006"/>
      <c r="AE88" s="1006"/>
      <c r="AF88" s="1006"/>
      <c r="AG88" s="1006"/>
      <c r="AH88" s="1006"/>
      <c r="AI88" s="1006"/>
      <c r="AJ88" s="1006"/>
      <c r="AK88" s="1006"/>
      <c r="AL88" s="1006"/>
      <c r="AM88" s="1006"/>
      <c r="AN88" s="1006"/>
      <c r="AO88" s="1006"/>
      <c r="AP88" s="1006"/>
      <c r="AQ88" s="1006"/>
      <c r="AR88" s="1006"/>
      <c r="AS88" s="1006"/>
    </row>
    <row r="89">
      <c r="A89" s="1006"/>
      <c r="B89" s="1006"/>
      <c r="C89" s="1006"/>
      <c r="D89" s="1006"/>
      <c r="E89" s="1006"/>
      <c r="F89" s="1006"/>
      <c r="G89" s="1006"/>
      <c r="H89" s="1006"/>
      <c r="I89" s="1006"/>
      <c r="J89" s="1006"/>
      <c r="K89" s="1006"/>
      <c r="L89" s="1006"/>
      <c r="M89" s="1006"/>
      <c r="N89" s="1006"/>
      <c r="O89" s="1006"/>
      <c r="P89" s="1006"/>
      <c r="Q89" s="1006"/>
      <c r="R89" s="1006"/>
      <c r="S89" s="1006"/>
      <c r="T89" s="1006"/>
      <c r="U89" s="1006"/>
      <c r="V89" s="1006"/>
      <c r="W89" s="1006"/>
      <c r="X89" s="1006"/>
      <c r="Y89" s="1006"/>
      <c r="Z89" s="1006"/>
      <c r="AA89" s="1006"/>
      <c r="AB89" s="1006"/>
      <c r="AC89" s="1006"/>
      <c r="AD89" s="1006"/>
      <c r="AE89" s="1006"/>
      <c r="AF89" s="1006"/>
      <c r="AG89" s="1006"/>
      <c r="AH89" s="1006"/>
      <c r="AI89" s="1006"/>
      <c r="AJ89" s="1006"/>
      <c r="AK89" s="1006"/>
      <c r="AL89" s="1006"/>
      <c r="AM89" s="1006"/>
      <c r="AN89" s="1006"/>
      <c r="AO89" s="1006"/>
      <c r="AP89" s="1006"/>
      <c r="AQ89" s="1006"/>
      <c r="AR89" s="1006"/>
      <c r="AS89" s="1006"/>
    </row>
    <row r="90">
      <c r="A90" s="1006"/>
      <c r="B90" s="1006"/>
      <c r="C90" s="1006"/>
      <c r="D90" s="1006"/>
      <c r="E90" s="1006"/>
      <c r="F90" s="1006"/>
      <c r="G90" s="1006"/>
      <c r="H90" s="1006"/>
      <c r="I90" s="1006"/>
      <c r="J90" s="1006"/>
      <c r="K90" s="1006"/>
      <c r="L90" s="1006"/>
      <c r="M90" s="1006"/>
      <c r="N90" s="1006"/>
      <c r="O90" s="1006"/>
      <c r="P90" s="1006"/>
      <c r="Q90" s="1006"/>
      <c r="R90" s="1006"/>
      <c r="S90" s="1006"/>
      <c r="T90" s="1006"/>
      <c r="U90" s="1006"/>
      <c r="V90" s="1006"/>
      <c r="W90" s="1006"/>
      <c r="X90" s="1006"/>
      <c r="Y90" s="1006"/>
      <c r="Z90" s="1006"/>
      <c r="AA90" s="1006"/>
      <c r="AB90" s="1006"/>
      <c r="AC90" s="1006"/>
      <c r="AD90" s="1006"/>
      <c r="AE90" s="1006"/>
      <c r="AF90" s="1006"/>
      <c r="AG90" s="1006"/>
      <c r="AH90" s="1006"/>
      <c r="AI90" s="1006"/>
      <c r="AJ90" s="1006"/>
      <c r="AK90" s="1006"/>
      <c r="AL90" s="1006"/>
      <c r="AM90" s="1006"/>
      <c r="AN90" s="1006"/>
      <c r="AO90" s="1006"/>
      <c r="AP90" s="1006"/>
      <c r="AQ90" s="1006"/>
      <c r="AR90" s="1006"/>
      <c r="AS90" s="1006"/>
    </row>
    <row r="91">
      <c r="A91" s="1006"/>
      <c r="B91" s="1006"/>
      <c r="C91" s="1006"/>
      <c r="D91" s="1006"/>
      <c r="E91" s="1006"/>
      <c r="F91" s="1006"/>
      <c r="G91" s="1006"/>
      <c r="H91" s="1006"/>
      <c r="I91" s="1006"/>
      <c r="J91" s="1006"/>
      <c r="K91" s="1006"/>
      <c r="L91" s="1006"/>
      <c r="M91" s="1006"/>
      <c r="N91" s="1006"/>
      <c r="O91" s="1006"/>
      <c r="P91" s="1006"/>
      <c r="Q91" s="1006"/>
      <c r="R91" s="1006"/>
      <c r="S91" s="1006"/>
      <c r="T91" s="1006"/>
      <c r="U91" s="1006"/>
      <c r="V91" s="1006"/>
      <c r="W91" s="1006"/>
      <c r="X91" s="1006"/>
      <c r="Y91" s="1006"/>
      <c r="Z91" s="1006"/>
      <c r="AA91" s="1006"/>
      <c r="AB91" s="1006"/>
      <c r="AC91" s="1006"/>
      <c r="AD91" s="1006"/>
      <c r="AE91" s="1006"/>
      <c r="AF91" s="1006"/>
      <c r="AG91" s="1006"/>
      <c r="AH91" s="1006"/>
      <c r="AI91" s="1006"/>
      <c r="AJ91" s="1006"/>
      <c r="AK91" s="1006"/>
      <c r="AL91" s="1006"/>
      <c r="AM91" s="1006"/>
      <c r="AN91" s="1006"/>
      <c r="AO91" s="1006"/>
      <c r="AP91" s="1006"/>
      <c r="AQ91" s="1006"/>
      <c r="AR91" s="1006"/>
      <c r="AS91" s="1006"/>
    </row>
    <row r="92">
      <c r="A92" s="1006"/>
      <c r="B92" s="1006"/>
      <c r="C92" s="1006"/>
      <c r="D92" s="1006"/>
      <c r="E92" s="1006"/>
      <c r="F92" s="1006"/>
      <c r="G92" s="1006"/>
      <c r="H92" s="1006"/>
      <c r="I92" s="1006"/>
      <c r="J92" s="1006"/>
      <c r="K92" s="1006"/>
      <c r="L92" s="1006"/>
      <c r="M92" s="1006"/>
      <c r="N92" s="1006"/>
      <c r="O92" s="1006"/>
      <c r="P92" s="1006"/>
      <c r="Q92" s="1006"/>
      <c r="R92" s="1006"/>
      <c r="S92" s="1006"/>
      <c r="T92" s="1006"/>
      <c r="U92" s="1006"/>
      <c r="V92" s="1006"/>
      <c r="W92" s="1006"/>
      <c r="X92" s="1006"/>
      <c r="Y92" s="1006"/>
      <c r="Z92" s="1006"/>
      <c r="AA92" s="1006"/>
      <c r="AB92" s="1006"/>
      <c r="AC92" s="1006"/>
      <c r="AD92" s="1006"/>
      <c r="AE92" s="1006"/>
      <c r="AF92" s="1006"/>
      <c r="AG92" s="1006"/>
      <c r="AH92" s="1006"/>
      <c r="AI92" s="1006"/>
      <c r="AJ92" s="1006"/>
      <c r="AK92" s="1006"/>
      <c r="AL92" s="1006"/>
      <c r="AM92" s="1006"/>
      <c r="AN92" s="1006"/>
      <c r="AO92" s="1006"/>
      <c r="AP92" s="1006"/>
      <c r="AQ92" s="1006"/>
      <c r="AR92" s="1006"/>
      <c r="AS92" s="1006"/>
    </row>
    <row r="93">
      <c r="A93" s="1006"/>
      <c r="B93" s="1006"/>
      <c r="C93" s="1006"/>
      <c r="D93" s="1006"/>
      <c r="E93" s="1006"/>
      <c r="F93" s="1006"/>
      <c r="G93" s="1006"/>
      <c r="H93" s="1006"/>
      <c r="I93" s="1006"/>
      <c r="J93" s="1006"/>
      <c r="K93" s="1006"/>
      <c r="L93" s="1006"/>
      <c r="M93" s="1006"/>
      <c r="N93" s="1006"/>
      <c r="O93" s="1006"/>
      <c r="P93" s="1006"/>
      <c r="Q93" s="1006"/>
      <c r="R93" s="1006"/>
      <c r="S93" s="1006"/>
      <c r="T93" s="1006"/>
      <c r="U93" s="1006"/>
      <c r="V93" s="1006"/>
      <c r="W93" s="1006"/>
      <c r="X93" s="1006"/>
      <c r="Y93" s="1006"/>
      <c r="Z93" s="1006"/>
      <c r="AA93" s="1006"/>
      <c r="AB93" s="1006"/>
      <c r="AC93" s="1006"/>
      <c r="AD93" s="1006"/>
      <c r="AE93" s="1006"/>
      <c r="AF93" s="1006"/>
      <c r="AG93" s="1006"/>
      <c r="AH93" s="1006"/>
      <c r="AI93" s="1006"/>
      <c r="AJ93" s="1006"/>
      <c r="AK93" s="1006"/>
      <c r="AL93" s="1006"/>
      <c r="AM93" s="1006"/>
      <c r="AN93" s="1006"/>
      <c r="AO93" s="1006"/>
      <c r="AP93" s="1006"/>
      <c r="AQ93" s="1006"/>
      <c r="AR93" s="1006"/>
      <c r="AS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c r="AA94" s="1006"/>
      <c r="AB94" s="1006"/>
      <c r="AC94" s="1006"/>
      <c r="AD94" s="1006"/>
      <c r="AE94" s="1006"/>
      <c r="AF94" s="1006"/>
      <c r="AG94" s="1006"/>
      <c r="AH94" s="1006"/>
      <c r="AI94" s="1006"/>
      <c r="AJ94" s="1006"/>
      <c r="AK94" s="1006"/>
      <c r="AL94" s="1006"/>
      <c r="AM94" s="1006"/>
      <c r="AN94" s="1006"/>
      <c r="AO94" s="1006"/>
      <c r="AP94" s="1006"/>
      <c r="AQ94" s="1006"/>
      <c r="AR94" s="1006"/>
      <c r="AS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c r="AA95" s="1006"/>
      <c r="AB95" s="1006"/>
      <c r="AC95" s="1006"/>
      <c r="AD95" s="1006"/>
      <c r="AE95" s="1006"/>
      <c r="AF95" s="1006"/>
      <c r="AG95" s="1006"/>
      <c r="AH95" s="1006"/>
      <c r="AI95" s="1006"/>
      <c r="AJ95" s="1006"/>
      <c r="AK95" s="1006"/>
      <c r="AL95" s="1006"/>
      <c r="AM95" s="1006"/>
      <c r="AN95" s="1006"/>
      <c r="AO95" s="1006"/>
      <c r="AP95" s="1006"/>
      <c r="AQ95" s="1006"/>
      <c r="AR95" s="1006"/>
      <c r="AS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c r="AA96" s="1006"/>
      <c r="AB96" s="1006"/>
      <c r="AC96" s="1006"/>
      <c r="AD96" s="1006"/>
      <c r="AE96" s="1006"/>
      <c r="AF96" s="1006"/>
      <c r="AG96" s="1006"/>
      <c r="AH96" s="1006"/>
      <c r="AI96" s="1006"/>
      <c r="AJ96" s="1006"/>
      <c r="AK96" s="1006"/>
      <c r="AL96" s="1006"/>
      <c r="AM96" s="1006"/>
      <c r="AN96" s="1006"/>
      <c r="AO96" s="1006"/>
      <c r="AP96" s="1006"/>
      <c r="AQ96" s="1006"/>
      <c r="AR96" s="1006"/>
      <c r="AS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c r="AA97" s="1006"/>
      <c r="AB97" s="1006"/>
      <c r="AC97" s="1006"/>
      <c r="AD97" s="1006"/>
      <c r="AE97" s="1006"/>
      <c r="AF97" s="1006"/>
      <c r="AG97" s="1006"/>
      <c r="AH97" s="1006"/>
      <c r="AI97" s="1006"/>
      <c r="AJ97" s="1006"/>
      <c r="AK97" s="1006"/>
      <c r="AL97" s="1006"/>
      <c r="AM97" s="1006"/>
      <c r="AN97" s="1006"/>
      <c r="AO97" s="1006"/>
      <c r="AP97" s="1006"/>
      <c r="AQ97" s="1006"/>
      <c r="AR97" s="1006"/>
      <c r="AS97" s="1006"/>
    </row>
    <row r="98">
      <c r="A98" s="1006"/>
      <c r="B98" s="1006"/>
      <c r="C98" s="1006"/>
      <c r="D98" s="1006"/>
      <c r="E98" s="1006"/>
      <c r="F98" s="1006"/>
      <c r="G98" s="1006"/>
      <c r="H98" s="1006"/>
      <c r="I98" s="1006"/>
      <c r="J98" s="1006"/>
      <c r="K98" s="1006"/>
      <c r="L98" s="1006"/>
      <c r="M98" s="1006"/>
      <c r="N98" s="1006"/>
      <c r="O98" s="1006"/>
      <c r="P98" s="1006"/>
      <c r="Q98" s="1006"/>
      <c r="R98" s="1006"/>
      <c r="S98" s="1006"/>
      <c r="T98" s="1006"/>
      <c r="U98" s="1006"/>
      <c r="V98" s="1006"/>
      <c r="W98" s="1006"/>
      <c r="X98" s="1006"/>
      <c r="Y98" s="1006"/>
      <c r="Z98" s="1006"/>
      <c r="AA98" s="1006"/>
      <c r="AB98" s="1006"/>
      <c r="AC98" s="1006"/>
      <c r="AD98" s="1006"/>
      <c r="AE98" s="1006"/>
      <c r="AF98" s="1006"/>
      <c r="AG98" s="1006"/>
      <c r="AH98" s="1006"/>
      <c r="AI98" s="1006"/>
      <c r="AJ98" s="1006"/>
      <c r="AK98" s="1006"/>
      <c r="AL98" s="1006"/>
      <c r="AM98" s="1006"/>
      <c r="AN98" s="1006"/>
      <c r="AO98" s="1006"/>
      <c r="AP98" s="1006"/>
      <c r="AQ98" s="1006"/>
      <c r="AR98" s="1006"/>
      <c r="AS98" s="1006"/>
    </row>
    <row r="99">
      <c r="A99" s="1006"/>
      <c r="B99" s="1006"/>
      <c r="C99" s="1006"/>
      <c r="D99" s="1006"/>
      <c r="E99" s="1006"/>
      <c r="F99" s="1006"/>
      <c r="G99" s="1006"/>
      <c r="H99" s="1006"/>
      <c r="I99" s="1006"/>
      <c r="J99" s="1006"/>
      <c r="K99" s="1006"/>
      <c r="L99" s="1006"/>
      <c r="M99" s="1006"/>
      <c r="N99" s="1006"/>
      <c r="O99" s="1006"/>
      <c r="P99" s="1006"/>
      <c r="Q99" s="1006"/>
      <c r="R99" s="1006"/>
      <c r="S99" s="1006"/>
      <c r="T99" s="1006"/>
      <c r="U99" s="1006"/>
      <c r="V99" s="1006"/>
      <c r="W99" s="1006"/>
      <c r="X99" s="1006"/>
      <c r="Y99" s="1006"/>
      <c r="Z99" s="1006"/>
      <c r="AA99" s="1006"/>
      <c r="AB99" s="1006"/>
      <c r="AC99" s="1006"/>
      <c r="AD99" s="1006"/>
      <c r="AE99" s="1006"/>
      <c r="AF99" s="1006"/>
      <c r="AG99" s="1006"/>
      <c r="AH99" s="1006"/>
      <c r="AI99" s="1006"/>
      <c r="AJ99" s="1006"/>
      <c r="AK99" s="1006"/>
      <c r="AL99" s="1006"/>
      <c r="AM99" s="1006"/>
      <c r="AN99" s="1006"/>
      <c r="AO99" s="1006"/>
      <c r="AP99" s="1006"/>
      <c r="AQ99" s="1006"/>
      <c r="AR99" s="1006"/>
      <c r="AS99" s="1006"/>
    </row>
    <row r="100">
      <c r="A100" s="1006"/>
      <c r="B100" s="1006"/>
      <c r="C100" s="1006"/>
      <c r="D100" s="1006"/>
      <c r="E100" s="1006"/>
      <c r="F100" s="1006"/>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c r="AA100" s="1006"/>
      <c r="AB100" s="1006"/>
      <c r="AC100" s="1006"/>
      <c r="AD100" s="1006"/>
      <c r="AE100" s="1006"/>
      <c r="AF100" s="1006"/>
      <c r="AG100" s="1006"/>
      <c r="AH100" s="1006"/>
      <c r="AI100" s="1006"/>
      <c r="AJ100" s="1006"/>
      <c r="AK100" s="1006"/>
      <c r="AL100" s="1006"/>
      <c r="AM100" s="1006"/>
      <c r="AN100" s="1006"/>
      <c r="AO100" s="1006"/>
      <c r="AP100" s="1006"/>
      <c r="AQ100" s="1006"/>
      <c r="AR100" s="1006"/>
      <c r="AS100" s="1006"/>
    </row>
    <row r="101">
      <c r="A101" s="1006"/>
      <c r="B101" s="1006"/>
      <c r="C101" s="1006"/>
      <c r="D101" s="1006"/>
      <c r="E101" s="1006"/>
      <c r="F101" s="1006"/>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c r="AA101" s="1006"/>
      <c r="AB101" s="1006"/>
      <c r="AC101" s="1006"/>
      <c r="AD101" s="1006"/>
      <c r="AE101" s="1006"/>
      <c r="AF101" s="1006"/>
      <c r="AG101" s="1006"/>
      <c r="AH101" s="1006"/>
      <c r="AI101" s="1006"/>
      <c r="AJ101" s="1006"/>
      <c r="AK101" s="1006"/>
      <c r="AL101" s="1006"/>
      <c r="AM101" s="1006"/>
      <c r="AN101" s="1006"/>
      <c r="AO101" s="1006"/>
      <c r="AP101" s="1006"/>
      <c r="AQ101" s="1006"/>
      <c r="AR101" s="1006"/>
      <c r="AS101" s="1006"/>
    </row>
    <row r="102">
      <c r="A102" s="1006"/>
      <c r="B102" s="1006"/>
      <c r="C102" s="1006"/>
      <c r="D102" s="1006"/>
      <c r="E102" s="1006"/>
      <c r="F102" s="1006"/>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c r="AA102" s="1006"/>
      <c r="AB102" s="1006"/>
      <c r="AC102" s="1006"/>
      <c r="AD102" s="1006"/>
      <c r="AE102" s="1006"/>
      <c r="AF102" s="1006"/>
      <c r="AG102" s="1006"/>
      <c r="AH102" s="1006"/>
      <c r="AI102" s="1006"/>
      <c r="AJ102" s="1006"/>
      <c r="AK102" s="1006"/>
      <c r="AL102" s="1006"/>
      <c r="AM102" s="1006"/>
      <c r="AN102" s="1006"/>
      <c r="AO102" s="1006"/>
      <c r="AP102" s="1006"/>
      <c r="AQ102" s="1006"/>
      <c r="AR102" s="1006"/>
      <c r="AS102" s="1006"/>
    </row>
    <row r="103">
      <c r="A103" s="1006"/>
      <c r="B103" s="1006"/>
      <c r="C103" s="1006"/>
      <c r="D103" s="1006"/>
      <c r="E103" s="1006"/>
      <c r="F103" s="1006"/>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c r="AA103" s="1006"/>
      <c r="AB103" s="1006"/>
      <c r="AC103" s="1006"/>
      <c r="AD103" s="1006"/>
      <c r="AE103" s="1006"/>
      <c r="AF103" s="1006"/>
      <c r="AG103" s="1006"/>
      <c r="AH103" s="1006"/>
      <c r="AI103" s="1006"/>
      <c r="AJ103" s="1006"/>
      <c r="AK103" s="1006"/>
      <c r="AL103" s="1006"/>
      <c r="AM103" s="1006"/>
      <c r="AN103" s="1006"/>
      <c r="AO103" s="1006"/>
      <c r="AP103" s="1006"/>
      <c r="AQ103" s="1006"/>
      <c r="AR103" s="1006"/>
      <c r="AS103" s="1006"/>
    </row>
    <row r="104">
      <c r="A104" s="1006"/>
      <c r="B104" s="1006"/>
      <c r="C104" s="1006"/>
      <c r="D104" s="1006"/>
      <c r="E104" s="1006"/>
      <c r="F104" s="1006"/>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c r="AA104" s="1006"/>
      <c r="AB104" s="1006"/>
      <c r="AC104" s="1006"/>
      <c r="AD104" s="1006"/>
      <c r="AE104" s="1006"/>
      <c r="AF104" s="1006"/>
      <c r="AG104" s="1006"/>
      <c r="AH104" s="1006"/>
      <c r="AI104" s="1006"/>
      <c r="AJ104" s="1006"/>
      <c r="AK104" s="1006"/>
      <c r="AL104" s="1006"/>
      <c r="AM104" s="1006"/>
      <c r="AN104" s="1006"/>
      <c r="AO104" s="1006"/>
      <c r="AP104" s="1006"/>
      <c r="AQ104" s="1006"/>
      <c r="AR104" s="1006"/>
      <c r="AS104" s="1006"/>
    </row>
    <row r="105">
      <c r="A105" s="1006"/>
      <c r="B105" s="1006"/>
      <c r="C105" s="1006"/>
      <c r="D105" s="1006"/>
      <c r="E105" s="1006"/>
      <c r="F105" s="1006"/>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c r="AA105" s="1006"/>
      <c r="AB105" s="1006"/>
      <c r="AC105" s="1006"/>
      <c r="AD105" s="1006"/>
      <c r="AE105" s="1006"/>
      <c r="AF105" s="1006"/>
      <c r="AG105" s="1006"/>
      <c r="AH105" s="1006"/>
      <c r="AI105" s="1006"/>
      <c r="AJ105" s="1006"/>
      <c r="AK105" s="1006"/>
      <c r="AL105" s="1006"/>
      <c r="AM105" s="1006"/>
      <c r="AN105" s="1006"/>
      <c r="AO105" s="1006"/>
      <c r="AP105" s="1006"/>
      <c r="AQ105" s="1006"/>
      <c r="AR105" s="1006"/>
      <c r="AS105" s="1006"/>
    </row>
    <row r="106">
      <c r="A106" s="1006"/>
      <c r="B106" s="1006"/>
      <c r="C106" s="1006"/>
      <c r="D106" s="1006"/>
      <c r="E106" s="1006"/>
      <c r="F106" s="1006"/>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c r="AA106" s="1006"/>
      <c r="AB106" s="1006"/>
      <c r="AC106" s="1006"/>
      <c r="AD106" s="1006"/>
      <c r="AE106" s="1006"/>
      <c r="AF106" s="1006"/>
      <c r="AG106" s="1006"/>
      <c r="AH106" s="1006"/>
      <c r="AI106" s="1006"/>
      <c r="AJ106" s="1006"/>
      <c r="AK106" s="1006"/>
      <c r="AL106" s="1006"/>
      <c r="AM106" s="1006"/>
      <c r="AN106" s="1006"/>
      <c r="AO106" s="1006"/>
      <c r="AP106" s="1006"/>
      <c r="AQ106" s="1006"/>
      <c r="AR106" s="1006"/>
      <c r="AS106" s="1006"/>
    </row>
    <row r="107">
      <c r="A107" s="1006"/>
      <c r="B107" s="1006"/>
      <c r="C107" s="1006"/>
      <c r="D107" s="1006"/>
      <c r="E107" s="1006"/>
      <c r="F107" s="1006"/>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c r="AA107" s="1006"/>
      <c r="AB107" s="1006"/>
      <c r="AC107" s="1006"/>
      <c r="AD107" s="1006"/>
      <c r="AE107" s="1006"/>
      <c r="AF107" s="1006"/>
      <c r="AG107" s="1006"/>
      <c r="AH107" s="1006"/>
      <c r="AI107" s="1006"/>
      <c r="AJ107" s="1006"/>
      <c r="AK107" s="1006"/>
      <c r="AL107" s="1006"/>
      <c r="AM107" s="1006"/>
      <c r="AN107" s="1006"/>
      <c r="AO107" s="1006"/>
      <c r="AP107" s="1006"/>
      <c r="AQ107" s="1006"/>
      <c r="AR107" s="1006"/>
      <c r="AS107" s="1006"/>
    </row>
    <row r="108">
      <c r="A108" s="1006"/>
      <c r="B108" s="1006"/>
      <c r="C108" s="1006"/>
      <c r="D108" s="1006"/>
      <c r="E108" s="1006"/>
      <c r="F108" s="1006"/>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c r="AA108" s="1006"/>
      <c r="AB108" s="1006"/>
      <c r="AC108" s="1006"/>
      <c r="AD108" s="1006"/>
      <c r="AE108" s="1006"/>
      <c r="AF108" s="1006"/>
      <c r="AG108" s="1006"/>
      <c r="AH108" s="1006"/>
      <c r="AI108" s="1006"/>
      <c r="AJ108" s="1006"/>
      <c r="AK108" s="1006"/>
      <c r="AL108" s="1006"/>
      <c r="AM108" s="1006"/>
      <c r="AN108" s="1006"/>
      <c r="AO108" s="1006"/>
      <c r="AP108" s="1006"/>
      <c r="AQ108" s="1006"/>
      <c r="AR108" s="1006"/>
      <c r="AS108" s="1006"/>
    </row>
    <row r="109">
      <c r="A109" s="1006"/>
      <c r="B109" s="1006"/>
      <c r="C109" s="1006"/>
      <c r="D109" s="1006"/>
      <c r="E109" s="1006"/>
      <c r="F109" s="1006"/>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c r="AA109" s="1006"/>
      <c r="AB109" s="1006"/>
      <c r="AC109" s="1006"/>
      <c r="AD109" s="1006"/>
      <c r="AE109" s="1006"/>
      <c r="AF109" s="1006"/>
      <c r="AG109" s="1006"/>
      <c r="AH109" s="1006"/>
      <c r="AI109" s="1006"/>
      <c r="AJ109" s="1006"/>
      <c r="AK109" s="1006"/>
      <c r="AL109" s="1006"/>
      <c r="AM109" s="1006"/>
      <c r="AN109" s="1006"/>
      <c r="AO109" s="1006"/>
      <c r="AP109" s="1006"/>
      <c r="AQ109" s="1006"/>
      <c r="AR109" s="1006"/>
      <c r="AS109" s="1006"/>
    </row>
    <row r="110">
      <c r="A110" s="1006"/>
      <c r="B110" s="1006"/>
      <c r="C110" s="1006"/>
      <c r="D110" s="1006"/>
      <c r="E110" s="1006"/>
      <c r="F110" s="1006"/>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c r="AA110" s="1006"/>
      <c r="AB110" s="1006"/>
      <c r="AC110" s="1006"/>
      <c r="AD110" s="1006"/>
      <c r="AE110" s="1006"/>
      <c r="AF110" s="1006"/>
      <c r="AG110" s="1006"/>
      <c r="AH110" s="1006"/>
      <c r="AI110" s="1006"/>
      <c r="AJ110" s="1006"/>
      <c r="AK110" s="1006"/>
      <c r="AL110" s="1006"/>
      <c r="AM110" s="1006"/>
      <c r="AN110" s="1006"/>
      <c r="AO110" s="1006"/>
      <c r="AP110" s="1006"/>
      <c r="AQ110" s="1006"/>
      <c r="AR110" s="1006"/>
      <c r="AS110" s="1006"/>
    </row>
    <row r="111">
      <c r="A111" s="1006"/>
      <c r="B111" s="1006"/>
      <c r="C111" s="1006"/>
      <c r="D111" s="1006"/>
      <c r="E111" s="1006"/>
      <c r="F111" s="1006"/>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c r="AA111" s="1006"/>
      <c r="AB111" s="1006"/>
      <c r="AC111" s="1006"/>
      <c r="AD111" s="1006"/>
      <c r="AE111" s="1006"/>
      <c r="AF111" s="1006"/>
      <c r="AG111" s="1006"/>
      <c r="AH111" s="1006"/>
      <c r="AI111" s="1006"/>
      <c r="AJ111" s="1006"/>
      <c r="AK111" s="1006"/>
      <c r="AL111" s="1006"/>
      <c r="AM111" s="1006"/>
      <c r="AN111" s="1006"/>
      <c r="AO111" s="1006"/>
      <c r="AP111" s="1006"/>
      <c r="AQ111" s="1006"/>
      <c r="AR111" s="1006"/>
      <c r="AS111" s="1006"/>
    </row>
    <row r="112">
      <c r="A112" s="1006"/>
      <c r="B112" s="1006"/>
      <c r="C112" s="1006"/>
      <c r="D112" s="1006"/>
      <c r="E112" s="1006"/>
      <c r="F112" s="1006"/>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c r="AA112" s="1006"/>
      <c r="AB112" s="1006"/>
      <c r="AC112" s="1006"/>
      <c r="AD112" s="1006"/>
      <c r="AE112" s="1006"/>
      <c r="AF112" s="1006"/>
      <c r="AG112" s="1006"/>
      <c r="AH112" s="1006"/>
      <c r="AI112" s="1006"/>
      <c r="AJ112" s="1006"/>
      <c r="AK112" s="1006"/>
      <c r="AL112" s="1006"/>
      <c r="AM112" s="1006"/>
      <c r="AN112" s="1006"/>
      <c r="AO112" s="1006"/>
      <c r="AP112" s="1006"/>
      <c r="AQ112" s="1006"/>
      <c r="AR112" s="1006"/>
      <c r="AS112" s="1006"/>
    </row>
    <row r="113">
      <c r="A113" s="1006"/>
      <c r="B113" s="1006"/>
      <c r="C113" s="1006"/>
      <c r="D113" s="1006"/>
      <c r="E113" s="1006"/>
      <c r="F113" s="1006"/>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c r="AA113" s="1006"/>
      <c r="AB113" s="1006"/>
      <c r="AC113" s="1006"/>
      <c r="AD113" s="1006"/>
      <c r="AE113" s="1006"/>
      <c r="AF113" s="1006"/>
      <c r="AG113" s="1006"/>
      <c r="AH113" s="1006"/>
      <c r="AI113" s="1006"/>
      <c r="AJ113" s="1006"/>
      <c r="AK113" s="1006"/>
      <c r="AL113" s="1006"/>
      <c r="AM113" s="1006"/>
      <c r="AN113" s="1006"/>
      <c r="AO113" s="1006"/>
      <c r="AP113" s="1006"/>
      <c r="AQ113" s="1006"/>
      <c r="AR113" s="1006"/>
      <c r="AS113" s="1006"/>
    </row>
    <row r="114">
      <c r="A114" s="1006"/>
      <c r="B114" s="1006"/>
      <c r="C114" s="1006"/>
      <c r="D114" s="1006"/>
      <c r="E114" s="1006"/>
      <c r="F114" s="1006"/>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c r="AA114" s="1006"/>
      <c r="AB114" s="1006"/>
      <c r="AC114" s="1006"/>
      <c r="AD114" s="1006"/>
      <c r="AE114" s="1006"/>
      <c r="AF114" s="1006"/>
      <c r="AG114" s="1006"/>
      <c r="AH114" s="1006"/>
      <c r="AI114" s="1006"/>
      <c r="AJ114" s="1006"/>
      <c r="AK114" s="1006"/>
      <c r="AL114" s="1006"/>
      <c r="AM114" s="1006"/>
      <c r="AN114" s="1006"/>
      <c r="AO114" s="1006"/>
      <c r="AP114" s="1006"/>
      <c r="AQ114" s="1006"/>
      <c r="AR114" s="1006"/>
      <c r="AS114" s="1006"/>
    </row>
    <row r="115">
      <c r="A115" s="1006"/>
      <c r="B115" s="1006"/>
      <c r="C115" s="1006"/>
      <c r="D115" s="1006"/>
      <c r="E115" s="1006"/>
      <c r="F115" s="1006"/>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c r="AA115" s="1006"/>
      <c r="AB115" s="1006"/>
      <c r="AC115" s="1006"/>
      <c r="AD115" s="1006"/>
      <c r="AE115" s="1006"/>
      <c r="AF115" s="1006"/>
      <c r="AG115" s="1006"/>
      <c r="AH115" s="1006"/>
      <c r="AI115" s="1006"/>
      <c r="AJ115" s="1006"/>
      <c r="AK115" s="1006"/>
      <c r="AL115" s="1006"/>
      <c r="AM115" s="1006"/>
      <c r="AN115" s="1006"/>
      <c r="AO115" s="1006"/>
      <c r="AP115" s="1006"/>
      <c r="AQ115" s="1006"/>
      <c r="AR115" s="1006"/>
      <c r="AS115" s="1006"/>
    </row>
    <row r="116">
      <c r="A116" s="1006"/>
      <c r="B116" s="1006"/>
      <c r="C116" s="1006"/>
      <c r="D116" s="1006"/>
      <c r="E116" s="1006"/>
      <c r="F116" s="1006"/>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c r="AA116" s="1006"/>
      <c r="AB116" s="1006"/>
      <c r="AC116" s="1006"/>
      <c r="AD116" s="1006"/>
      <c r="AE116" s="1006"/>
      <c r="AF116" s="1006"/>
      <c r="AG116" s="1006"/>
      <c r="AH116" s="1006"/>
      <c r="AI116" s="1006"/>
      <c r="AJ116" s="1006"/>
      <c r="AK116" s="1006"/>
      <c r="AL116" s="1006"/>
      <c r="AM116" s="1006"/>
      <c r="AN116" s="1006"/>
      <c r="AO116" s="1006"/>
      <c r="AP116" s="1006"/>
      <c r="AQ116" s="1006"/>
      <c r="AR116" s="1006"/>
      <c r="AS116" s="1006"/>
    </row>
    <row r="117">
      <c r="A117" s="1006"/>
      <c r="B117" s="1006"/>
      <c r="C117" s="1006"/>
      <c r="D117" s="1006"/>
      <c r="E117" s="1006"/>
      <c r="F117" s="1006"/>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c r="AA117" s="1006"/>
      <c r="AB117" s="1006"/>
      <c r="AC117" s="1006"/>
      <c r="AD117" s="1006"/>
      <c r="AE117" s="1006"/>
      <c r="AF117" s="1006"/>
      <c r="AG117" s="1006"/>
      <c r="AH117" s="1006"/>
      <c r="AI117" s="1006"/>
      <c r="AJ117" s="1006"/>
      <c r="AK117" s="1006"/>
      <c r="AL117" s="1006"/>
      <c r="AM117" s="1006"/>
      <c r="AN117" s="1006"/>
      <c r="AO117" s="1006"/>
      <c r="AP117" s="1006"/>
      <c r="AQ117" s="1006"/>
      <c r="AR117" s="1006"/>
      <c r="AS117" s="1006"/>
    </row>
    <row r="118">
      <c r="A118" s="1006"/>
      <c r="B118" s="1006"/>
      <c r="C118" s="1006"/>
      <c r="D118" s="1006"/>
      <c r="E118" s="1006"/>
      <c r="F118" s="1006"/>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c r="AA118" s="1006"/>
      <c r="AB118" s="1006"/>
      <c r="AC118" s="1006"/>
      <c r="AD118" s="1006"/>
      <c r="AE118" s="1006"/>
      <c r="AF118" s="1006"/>
      <c r="AG118" s="1006"/>
      <c r="AH118" s="1006"/>
      <c r="AI118" s="1006"/>
      <c r="AJ118" s="1006"/>
      <c r="AK118" s="1006"/>
      <c r="AL118" s="1006"/>
      <c r="AM118" s="1006"/>
      <c r="AN118" s="1006"/>
      <c r="AO118" s="1006"/>
      <c r="AP118" s="1006"/>
      <c r="AQ118" s="1006"/>
      <c r="AR118" s="1006"/>
      <c r="AS118" s="1006"/>
    </row>
    <row r="119">
      <c r="A119" s="1006"/>
      <c r="B119" s="1006"/>
      <c r="C119" s="1006"/>
      <c r="D119" s="1006"/>
      <c r="E119" s="1006"/>
      <c r="F119" s="1006"/>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c r="AA119" s="1006"/>
      <c r="AB119" s="1006"/>
      <c r="AC119" s="1006"/>
      <c r="AD119" s="1006"/>
      <c r="AE119" s="1006"/>
      <c r="AF119" s="1006"/>
      <c r="AG119" s="1006"/>
      <c r="AH119" s="1006"/>
      <c r="AI119" s="1006"/>
      <c r="AJ119" s="1006"/>
      <c r="AK119" s="1006"/>
      <c r="AL119" s="1006"/>
      <c r="AM119" s="1006"/>
      <c r="AN119" s="1006"/>
      <c r="AO119" s="1006"/>
      <c r="AP119" s="1006"/>
      <c r="AQ119" s="1006"/>
      <c r="AR119" s="1006"/>
      <c r="AS119" s="1006"/>
    </row>
    <row r="120">
      <c r="A120" s="1006"/>
      <c r="B120" s="1006"/>
      <c r="C120" s="1006"/>
      <c r="D120" s="1006"/>
      <c r="E120" s="1006"/>
      <c r="F120" s="1006"/>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c r="AA120" s="1006"/>
      <c r="AB120" s="1006"/>
      <c r="AC120" s="1006"/>
      <c r="AD120" s="1006"/>
      <c r="AE120" s="1006"/>
      <c r="AF120" s="1006"/>
      <c r="AG120" s="1006"/>
      <c r="AH120" s="1006"/>
      <c r="AI120" s="1006"/>
      <c r="AJ120" s="1006"/>
      <c r="AK120" s="1006"/>
      <c r="AL120" s="1006"/>
      <c r="AM120" s="1006"/>
      <c r="AN120" s="1006"/>
      <c r="AO120" s="1006"/>
      <c r="AP120" s="1006"/>
      <c r="AQ120" s="1006"/>
      <c r="AR120" s="1006"/>
      <c r="AS120" s="1006"/>
    </row>
    <row r="121">
      <c r="A121" s="1006"/>
      <c r="B121" s="1006"/>
      <c r="C121" s="1006"/>
      <c r="D121" s="1006"/>
      <c r="E121" s="1006"/>
      <c r="F121" s="1006"/>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c r="AA121" s="1006"/>
      <c r="AB121" s="1006"/>
      <c r="AC121" s="1006"/>
      <c r="AD121" s="1006"/>
      <c r="AE121" s="1006"/>
      <c r="AF121" s="1006"/>
      <c r="AG121" s="1006"/>
      <c r="AH121" s="1006"/>
      <c r="AI121" s="1006"/>
      <c r="AJ121" s="1006"/>
      <c r="AK121" s="1006"/>
      <c r="AL121" s="1006"/>
      <c r="AM121" s="1006"/>
      <c r="AN121" s="1006"/>
      <c r="AO121" s="1006"/>
      <c r="AP121" s="1006"/>
      <c r="AQ121" s="1006"/>
      <c r="AR121" s="1006"/>
      <c r="AS121" s="1006"/>
    </row>
    <row r="122">
      <c r="A122" s="1006"/>
      <c r="B122" s="1006"/>
      <c r="C122" s="1006"/>
      <c r="D122" s="1006"/>
      <c r="E122" s="1006"/>
      <c r="F122" s="1006"/>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c r="AA122" s="1006"/>
      <c r="AB122" s="1006"/>
      <c r="AC122" s="1006"/>
      <c r="AD122" s="1006"/>
      <c r="AE122" s="1006"/>
      <c r="AF122" s="1006"/>
      <c r="AG122" s="1006"/>
      <c r="AH122" s="1006"/>
      <c r="AI122" s="1006"/>
      <c r="AJ122" s="1006"/>
      <c r="AK122" s="1006"/>
      <c r="AL122" s="1006"/>
      <c r="AM122" s="1006"/>
      <c r="AN122" s="1006"/>
      <c r="AO122" s="1006"/>
      <c r="AP122" s="1006"/>
      <c r="AQ122" s="1006"/>
      <c r="AR122" s="1006"/>
      <c r="AS122" s="1006"/>
    </row>
    <row r="123">
      <c r="A123" s="1006"/>
      <c r="B123" s="1006"/>
      <c r="C123" s="1006"/>
      <c r="D123" s="1006"/>
      <c r="E123" s="1006"/>
      <c r="F123" s="1006"/>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c r="AA123" s="1006"/>
      <c r="AB123" s="1006"/>
      <c r="AC123" s="1006"/>
      <c r="AD123" s="1006"/>
      <c r="AE123" s="1006"/>
      <c r="AF123" s="1006"/>
      <c r="AG123" s="1006"/>
      <c r="AH123" s="1006"/>
      <c r="AI123" s="1006"/>
      <c r="AJ123" s="1006"/>
      <c r="AK123" s="1006"/>
      <c r="AL123" s="1006"/>
      <c r="AM123" s="1006"/>
      <c r="AN123" s="1006"/>
      <c r="AO123" s="1006"/>
      <c r="AP123" s="1006"/>
      <c r="AQ123" s="1006"/>
      <c r="AR123" s="1006"/>
      <c r="AS123" s="1006"/>
    </row>
    <row r="124">
      <c r="A124" s="1006"/>
      <c r="B124" s="1006"/>
      <c r="C124" s="1006"/>
      <c r="D124" s="1006"/>
      <c r="E124" s="1006"/>
      <c r="F124" s="1006"/>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c r="AA124" s="1006"/>
      <c r="AB124" s="1006"/>
      <c r="AC124" s="1006"/>
      <c r="AD124" s="1006"/>
      <c r="AE124" s="1006"/>
      <c r="AF124" s="1006"/>
      <c r="AG124" s="1006"/>
      <c r="AH124" s="1006"/>
      <c r="AI124" s="1006"/>
      <c r="AJ124" s="1006"/>
      <c r="AK124" s="1006"/>
      <c r="AL124" s="1006"/>
      <c r="AM124" s="1006"/>
      <c r="AN124" s="1006"/>
      <c r="AO124" s="1006"/>
      <c r="AP124" s="1006"/>
      <c r="AQ124" s="1006"/>
      <c r="AR124" s="1006"/>
      <c r="AS124" s="1006"/>
    </row>
    <row r="125">
      <c r="A125" s="1006"/>
      <c r="B125" s="1006"/>
      <c r="C125" s="1006"/>
      <c r="D125" s="1006"/>
      <c r="E125" s="1006"/>
      <c r="F125" s="1006"/>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c r="AA125" s="1006"/>
      <c r="AB125" s="1006"/>
      <c r="AC125" s="1006"/>
      <c r="AD125" s="1006"/>
      <c r="AE125" s="1006"/>
      <c r="AF125" s="1006"/>
      <c r="AG125" s="1006"/>
      <c r="AH125" s="1006"/>
      <c r="AI125" s="1006"/>
      <c r="AJ125" s="1006"/>
      <c r="AK125" s="1006"/>
      <c r="AL125" s="1006"/>
      <c r="AM125" s="1006"/>
      <c r="AN125" s="1006"/>
      <c r="AO125" s="1006"/>
      <c r="AP125" s="1006"/>
      <c r="AQ125" s="1006"/>
      <c r="AR125" s="1006"/>
      <c r="AS125" s="1006"/>
    </row>
    <row r="126">
      <c r="A126" s="1006"/>
      <c r="B126" s="1006"/>
      <c r="C126" s="1006"/>
      <c r="D126" s="1006"/>
      <c r="E126" s="1006"/>
      <c r="F126" s="1006"/>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c r="AA126" s="1006"/>
      <c r="AB126" s="1006"/>
      <c r="AC126" s="1006"/>
      <c r="AD126" s="1006"/>
      <c r="AE126" s="1006"/>
      <c r="AF126" s="1006"/>
      <c r="AG126" s="1006"/>
      <c r="AH126" s="1006"/>
      <c r="AI126" s="1006"/>
      <c r="AJ126" s="1006"/>
      <c r="AK126" s="1006"/>
      <c r="AL126" s="1006"/>
      <c r="AM126" s="1006"/>
      <c r="AN126" s="1006"/>
      <c r="AO126" s="1006"/>
      <c r="AP126" s="1006"/>
      <c r="AQ126" s="1006"/>
      <c r="AR126" s="1006"/>
      <c r="AS126" s="1006"/>
    </row>
    <row r="127">
      <c r="A127" s="1006"/>
      <c r="B127" s="1006"/>
      <c r="C127" s="1006"/>
      <c r="D127" s="1006"/>
      <c r="E127" s="1006"/>
      <c r="F127" s="1006"/>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c r="AA127" s="1006"/>
      <c r="AB127" s="1006"/>
      <c r="AC127" s="1006"/>
      <c r="AD127" s="1006"/>
      <c r="AE127" s="1006"/>
      <c r="AF127" s="1006"/>
      <c r="AG127" s="1006"/>
      <c r="AH127" s="1006"/>
      <c r="AI127" s="1006"/>
      <c r="AJ127" s="1006"/>
      <c r="AK127" s="1006"/>
      <c r="AL127" s="1006"/>
      <c r="AM127" s="1006"/>
      <c r="AN127" s="1006"/>
      <c r="AO127" s="1006"/>
      <c r="AP127" s="1006"/>
      <c r="AQ127" s="1006"/>
      <c r="AR127" s="1006"/>
      <c r="AS127" s="1006"/>
    </row>
    <row r="128">
      <c r="A128" s="1006"/>
      <c r="B128" s="1006"/>
      <c r="C128" s="1006"/>
      <c r="D128" s="1006"/>
      <c r="E128" s="1006"/>
      <c r="F128" s="1006"/>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c r="AA128" s="1006"/>
      <c r="AB128" s="1006"/>
      <c r="AC128" s="1006"/>
      <c r="AD128" s="1006"/>
      <c r="AE128" s="1006"/>
      <c r="AF128" s="1006"/>
      <c r="AG128" s="1006"/>
      <c r="AH128" s="1006"/>
      <c r="AI128" s="1006"/>
      <c r="AJ128" s="1006"/>
      <c r="AK128" s="1006"/>
      <c r="AL128" s="1006"/>
      <c r="AM128" s="1006"/>
      <c r="AN128" s="1006"/>
      <c r="AO128" s="1006"/>
      <c r="AP128" s="1006"/>
      <c r="AQ128" s="1006"/>
      <c r="AR128" s="1006"/>
      <c r="AS128" s="1006"/>
    </row>
    <row r="129">
      <c r="A129" s="1006"/>
      <c r="B129" s="1006"/>
      <c r="C129" s="1006"/>
      <c r="D129" s="1006"/>
      <c r="E129" s="1006"/>
      <c r="F129" s="1006"/>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c r="AA129" s="1006"/>
      <c r="AB129" s="1006"/>
      <c r="AC129" s="1006"/>
      <c r="AD129" s="1006"/>
      <c r="AE129" s="1006"/>
      <c r="AF129" s="1006"/>
      <c r="AG129" s="1006"/>
      <c r="AH129" s="1006"/>
      <c r="AI129" s="1006"/>
      <c r="AJ129" s="1006"/>
      <c r="AK129" s="1006"/>
      <c r="AL129" s="1006"/>
      <c r="AM129" s="1006"/>
      <c r="AN129" s="1006"/>
      <c r="AO129" s="1006"/>
      <c r="AP129" s="1006"/>
      <c r="AQ129" s="1006"/>
      <c r="AR129" s="1006"/>
      <c r="AS129" s="1006"/>
    </row>
    <row r="130">
      <c r="A130" s="1006"/>
      <c r="B130" s="1006"/>
      <c r="C130" s="1006"/>
      <c r="D130" s="1006"/>
      <c r="E130" s="1006"/>
      <c r="F130" s="1006"/>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c r="AA130" s="1006"/>
      <c r="AB130" s="1006"/>
      <c r="AC130" s="1006"/>
      <c r="AD130" s="1006"/>
      <c r="AE130" s="1006"/>
      <c r="AF130" s="1006"/>
      <c r="AG130" s="1006"/>
      <c r="AH130" s="1006"/>
      <c r="AI130" s="1006"/>
      <c r="AJ130" s="1006"/>
      <c r="AK130" s="1006"/>
      <c r="AL130" s="1006"/>
      <c r="AM130" s="1006"/>
      <c r="AN130" s="1006"/>
      <c r="AO130" s="1006"/>
      <c r="AP130" s="1006"/>
      <c r="AQ130" s="1006"/>
      <c r="AR130" s="1006"/>
      <c r="AS130" s="1006"/>
    </row>
    <row r="131">
      <c r="A131" s="1006"/>
      <c r="B131" s="1006"/>
      <c r="C131" s="1006"/>
      <c r="D131" s="1006"/>
      <c r="E131" s="1006"/>
      <c r="F131" s="1006"/>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c r="AA131" s="1006"/>
      <c r="AB131" s="1006"/>
      <c r="AC131" s="1006"/>
      <c r="AD131" s="1006"/>
      <c r="AE131" s="1006"/>
      <c r="AF131" s="1006"/>
      <c r="AG131" s="1006"/>
      <c r="AH131" s="1006"/>
      <c r="AI131" s="1006"/>
      <c r="AJ131" s="1006"/>
      <c r="AK131" s="1006"/>
      <c r="AL131" s="1006"/>
      <c r="AM131" s="1006"/>
      <c r="AN131" s="1006"/>
      <c r="AO131" s="1006"/>
      <c r="AP131" s="1006"/>
      <c r="AQ131" s="1006"/>
      <c r="AR131" s="1006"/>
      <c r="AS131" s="1006"/>
    </row>
    <row r="132">
      <c r="A132" s="1006"/>
      <c r="B132" s="1006"/>
      <c r="C132" s="1006"/>
      <c r="D132" s="1006"/>
      <c r="E132" s="1006"/>
      <c r="F132" s="1006"/>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c r="AA132" s="1006"/>
      <c r="AB132" s="1006"/>
      <c r="AC132" s="1006"/>
      <c r="AD132" s="1006"/>
      <c r="AE132" s="1006"/>
      <c r="AF132" s="1006"/>
      <c r="AG132" s="1006"/>
      <c r="AH132" s="1006"/>
      <c r="AI132" s="1006"/>
      <c r="AJ132" s="1006"/>
      <c r="AK132" s="1006"/>
      <c r="AL132" s="1006"/>
      <c r="AM132" s="1006"/>
      <c r="AN132" s="1006"/>
      <c r="AO132" s="1006"/>
      <c r="AP132" s="1006"/>
      <c r="AQ132" s="1006"/>
      <c r="AR132" s="1006"/>
      <c r="AS132" s="1006"/>
    </row>
    <row r="133">
      <c r="A133" s="1006"/>
      <c r="B133" s="1006"/>
      <c r="C133" s="1006"/>
      <c r="D133" s="1006"/>
      <c r="E133" s="1006"/>
      <c r="F133" s="1006"/>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c r="AA133" s="1006"/>
      <c r="AB133" s="1006"/>
      <c r="AC133" s="1006"/>
      <c r="AD133" s="1006"/>
      <c r="AE133" s="1006"/>
      <c r="AF133" s="1006"/>
      <c r="AG133" s="1006"/>
      <c r="AH133" s="1006"/>
      <c r="AI133" s="1006"/>
      <c r="AJ133" s="1006"/>
      <c r="AK133" s="1006"/>
      <c r="AL133" s="1006"/>
      <c r="AM133" s="1006"/>
      <c r="AN133" s="1006"/>
      <c r="AO133" s="1006"/>
      <c r="AP133" s="1006"/>
      <c r="AQ133" s="1006"/>
      <c r="AR133" s="1006"/>
      <c r="AS133" s="1006"/>
    </row>
    <row r="134">
      <c r="A134" s="1006"/>
      <c r="B134" s="1006"/>
      <c r="C134" s="1006"/>
      <c r="D134" s="1006"/>
      <c r="E134" s="1006"/>
      <c r="F134" s="1006"/>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c r="AA134" s="1006"/>
      <c r="AB134" s="1006"/>
      <c r="AC134" s="1006"/>
      <c r="AD134" s="1006"/>
      <c r="AE134" s="1006"/>
      <c r="AF134" s="1006"/>
      <c r="AG134" s="1006"/>
      <c r="AH134" s="1006"/>
      <c r="AI134" s="1006"/>
      <c r="AJ134" s="1006"/>
      <c r="AK134" s="1006"/>
      <c r="AL134" s="1006"/>
      <c r="AM134" s="1006"/>
      <c r="AN134" s="1006"/>
      <c r="AO134" s="1006"/>
      <c r="AP134" s="1006"/>
      <c r="AQ134" s="1006"/>
      <c r="AR134" s="1006"/>
      <c r="AS134" s="1006"/>
    </row>
    <row r="135">
      <c r="A135" s="1006"/>
      <c r="B135" s="1006"/>
      <c r="C135" s="1006"/>
      <c r="D135" s="1006"/>
      <c r="E135" s="1006"/>
      <c r="F135" s="1006"/>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c r="AA135" s="1006"/>
      <c r="AB135" s="1006"/>
      <c r="AC135" s="1006"/>
      <c r="AD135" s="1006"/>
      <c r="AE135" s="1006"/>
      <c r="AF135" s="1006"/>
      <c r="AG135" s="1006"/>
      <c r="AH135" s="1006"/>
      <c r="AI135" s="1006"/>
      <c r="AJ135" s="1006"/>
      <c r="AK135" s="1006"/>
      <c r="AL135" s="1006"/>
      <c r="AM135" s="1006"/>
      <c r="AN135" s="1006"/>
      <c r="AO135" s="1006"/>
      <c r="AP135" s="1006"/>
      <c r="AQ135" s="1006"/>
      <c r="AR135" s="1006"/>
      <c r="AS135" s="1006"/>
    </row>
    <row r="136">
      <c r="A136" s="1006"/>
      <c r="B136" s="1006"/>
      <c r="C136" s="1006"/>
      <c r="D136" s="1006"/>
      <c r="E136" s="1006"/>
      <c r="F136" s="1006"/>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c r="AA136" s="1006"/>
      <c r="AB136" s="1006"/>
      <c r="AC136" s="1006"/>
      <c r="AD136" s="1006"/>
      <c r="AE136" s="1006"/>
      <c r="AF136" s="1006"/>
      <c r="AG136" s="1006"/>
      <c r="AH136" s="1006"/>
      <c r="AI136" s="1006"/>
      <c r="AJ136" s="1006"/>
      <c r="AK136" s="1006"/>
      <c r="AL136" s="1006"/>
      <c r="AM136" s="1006"/>
      <c r="AN136" s="1006"/>
      <c r="AO136" s="1006"/>
      <c r="AP136" s="1006"/>
      <c r="AQ136" s="1006"/>
      <c r="AR136" s="1006"/>
      <c r="AS136" s="1006"/>
    </row>
    <row r="137">
      <c r="A137" s="1006"/>
      <c r="B137" s="1006"/>
      <c r="C137" s="1006"/>
      <c r="D137" s="1006"/>
      <c r="E137" s="1006"/>
      <c r="F137" s="1006"/>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c r="AA137" s="1006"/>
      <c r="AB137" s="1006"/>
      <c r="AC137" s="1006"/>
      <c r="AD137" s="1006"/>
      <c r="AE137" s="1006"/>
      <c r="AF137" s="1006"/>
      <c r="AG137" s="1006"/>
      <c r="AH137" s="1006"/>
      <c r="AI137" s="1006"/>
      <c r="AJ137" s="1006"/>
      <c r="AK137" s="1006"/>
      <c r="AL137" s="1006"/>
      <c r="AM137" s="1006"/>
      <c r="AN137" s="1006"/>
      <c r="AO137" s="1006"/>
      <c r="AP137" s="1006"/>
      <c r="AQ137" s="1006"/>
      <c r="AR137" s="1006"/>
      <c r="AS137" s="1006"/>
    </row>
    <row r="138">
      <c r="A138" s="1006"/>
      <c r="B138" s="1006"/>
      <c r="C138" s="1006"/>
      <c r="D138" s="1006"/>
      <c r="E138" s="1006"/>
      <c r="F138" s="1006"/>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c r="AA138" s="1006"/>
      <c r="AB138" s="1006"/>
      <c r="AC138" s="1006"/>
      <c r="AD138" s="1006"/>
      <c r="AE138" s="1006"/>
      <c r="AF138" s="1006"/>
      <c r="AG138" s="1006"/>
      <c r="AH138" s="1006"/>
      <c r="AI138" s="1006"/>
      <c r="AJ138" s="1006"/>
      <c r="AK138" s="1006"/>
      <c r="AL138" s="1006"/>
      <c r="AM138" s="1006"/>
      <c r="AN138" s="1006"/>
      <c r="AO138" s="1006"/>
      <c r="AP138" s="1006"/>
      <c r="AQ138" s="1006"/>
      <c r="AR138" s="1006"/>
      <c r="AS138" s="1006"/>
    </row>
    <row r="139">
      <c r="A139" s="1006"/>
      <c r="B139" s="1006"/>
      <c r="C139" s="1006"/>
      <c r="D139" s="1006"/>
      <c r="E139" s="1006"/>
      <c r="F139" s="1006"/>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c r="AA139" s="1006"/>
      <c r="AB139" s="1006"/>
      <c r="AC139" s="1006"/>
      <c r="AD139" s="1006"/>
      <c r="AE139" s="1006"/>
      <c r="AF139" s="1006"/>
      <c r="AG139" s="1006"/>
      <c r="AH139" s="1006"/>
      <c r="AI139" s="1006"/>
      <c r="AJ139" s="1006"/>
      <c r="AK139" s="1006"/>
      <c r="AL139" s="1006"/>
      <c r="AM139" s="1006"/>
      <c r="AN139" s="1006"/>
      <c r="AO139" s="1006"/>
      <c r="AP139" s="1006"/>
      <c r="AQ139" s="1006"/>
      <c r="AR139" s="1006"/>
      <c r="AS139" s="1006"/>
    </row>
    <row r="140">
      <c r="A140" s="1006"/>
      <c r="B140" s="1006"/>
      <c r="C140" s="1006"/>
      <c r="D140" s="1006"/>
      <c r="E140" s="1006"/>
      <c r="F140" s="1006"/>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c r="AA140" s="1006"/>
      <c r="AB140" s="1006"/>
      <c r="AC140" s="1006"/>
      <c r="AD140" s="1006"/>
      <c r="AE140" s="1006"/>
      <c r="AF140" s="1006"/>
      <c r="AG140" s="1006"/>
      <c r="AH140" s="1006"/>
      <c r="AI140" s="1006"/>
      <c r="AJ140" s="1006"/>
      <c r="AK140" s="1006"/>
      <c r="AL140" s="1006"/>
      <c r="AM140" s="1006"/>
      <c r="AN140" s="1006"/>
      <c r="AO140" s="1006"/>
      <c r="AP140" s="1006"/>
      <c r="AQ140" s="1006"/>
      <c r="AR140" s="1006"/>
      <c r="AS140" s="1006"/>
    </row>
    <row r="141">
      <c r="A141" s="1006"/>
      <c r="B141" s="1006"/>
      <c r="C141" s="1006"/>
      <c r="D141" s="1006"/>
      <c r="E141" s="1006"/>
      <c r="F141" s="1006"/>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c r="AA141" s="1006"/>
      <c r="AB141" s="1006"/>
      <c r="AC141" s="1006"/>
      <c r="AD141" s="1006"/>
      <c r="AE141" s="1006"/>
      <c r="AF141" s="1006"/>
      <c r="AG141" s="1006"/>
      <c r="AH141" s="1006"/>
      <c r="AI141" s="1006"/>
      <c r="AJ141" s="1006"/>
      <c r="AK141" s="1006"/>
      <c r="AL141" s="1006"/>
      <c r="AM141" s="1006"/>
      <c r="AN141" s="1006"/>
      <c r="AO141" s="1006"/>
      <c r="AP141" s="1006"/>
      <c r="AQ141" s="1006"/>
      <c r="AR141" s="1006"/>
      <c r="AS141" s="1006"/>
    </row>
    <row r="142">
      <c r="A142" s="1006"/>
      <c r="B142" s="1006"/>
      <c r="C142" s="1006"/>
      <c r="D142" s="1006"/>
      <c r="E142" s="1006"/>
      <c r="F142" s="1006"/>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c r="AA142" s="1006"/>
      <c r="AB142" s="1006"/>
      <c r="AC142" s="1006"/>
      <c r="AD142" s="1006"/>
      <c r="AE142" s="1006"/>
      <c r="AF142" s="1006"/>
      <c r="AG142" s="1006"/>
      <c r="AH142" s="1006"/>
      <c r="AI142" s="1006"/>
      <c r="AJ142" s="1006"/>
      <c r="AK142" s="1006"/>
      <c r="AL142" s="1006"/>
      <c r="AM142" s="1006"/>
      <c r="AN142" s="1006"/>
      <c r="AO142" s="1006"/>
      <c r="AP142" s="1006"/>
      <c r="AQ142" s="1006"/>
      <c r="AR142" s="1006"/>
      <c r="AS142" s="1006"/>
    </row>
    <row r="143">
      <c r="A143" s="1006"/>
      <c r="B143" s="1006"/>
      <c r="C143" s="1006"/>
      <c r="D143" s="1006"/>
      <c r="E143" s="1006"/>
      <c r="F143" s="1006"/>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c r="AA143" s="1006"/>
      <c r="AB143" s="1006"/>
      <c r="AC143" s="1006"/>
      <c r="AD143" s="1006"/>
      <c r="AE143" s="1006"/>
      <c r="AF143" s="1006"/>
      <c r="AG143" s="1006"/>
      <c r="AH143" s="1006"/>
      <c r="AI143" s="1006"/>
      <c r="AJ143" s="1006"/>
      <c r="AK143" s="1006"/>
      <c r="AL143" s="1006"/>
      <c r="AM143" s="1006"/>
      <c r="AN143" s="1006"/>
      <c r="AO143" s="1006"/>
      <c r="AP143" s="1006"/>
      <c r="AQ143" s="1006"/>
      <c r="AR143" s="1006"/>
      <c r="AS143" s="1006"/>
    </row>
    <row r="144">
      <c r="A144" s="1006"/>
      <c r="B144" s="1006"/>
      <c r="C144" s="1006"/>
      <c r="D144" s="1006"/>
      <c r="E144" s="1006"/>
      <c r="F144" s="1006"/>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c r="AA144" s="1006"/>
      <c r="AB144" s="1006"/>
      <c r="AC144" s="1006"/>
      <c r="AD144" s="1006"/>
      <c r="AE144" s="1006"/>
      <c r="AF144" s="1006"/>
      <c r="AG144" s="1006"/>
      <c r="AH144" s="1006"/>
      <c r="AI144" s="1006"/>
      <c r="AJ144" s="1006"/>
      <c r="AK144" s="1006"/>
      <c r="AL144" s="1006"/>
      <c r="AM144" s="1006"/>
      <c r="AN144" s="1006"/>
      <c r="AO144" s="1006"/>
      <c r="AP144" s="1006"/>
      <c r="AQ144" s="1006"/>
      <c r="AR144" s="1006"/>
      <c r="AS144" s="1006"/>
    </row>
    <row r="145">
      <c r="A145" s="1006"/>
      <c r="B145" s="1006"/>
      <c r="C145" s="1006"/>
      <c r="D145" s="1006"/>
      <c r="E145" s="1006"/>
      <c r="F145" s="1006"/>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c r="AA145" s="1006"/>
      <c r="AB145" s="1006"/>
      <c r="AC145" s="1006"/>
      <c r="AD145" s="1006"/>
      <c r="AE145" s="1006"/>
      <c r="AF145" s="1006"/>
      <c r="AG145" s="1006"/>
      <c r="AH145" s="1006"/>
      <c r="AI145" s="1006"/>
      <c r="AJ145" s="1006"/>
      <c r="AK145" s="1006"/>
      <c r="AL145" s="1006"/>
      <c r="AM145" s="1006"/>
      <c r="AN145" s="1006"/>
      <c r="AO145" s="1006"/>
      <c r="AP145" s="1006"/>
      <c r="AQ145" s="1006"/>
      <c r="AR145" s="1006"/>
      <c r="AS145" s="1006"/>
    </row>
    <row r="146">
      <c r="A146" s="1006"/>
      <c r="B146" s="1006"/>
      <c r="C146" s="1006"/>
      <c r="D146" s="1006"/>
      <c r="E146" s="1006"/>
      <c r="F146" s="1006"/>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c r="AA146" s="1006"/>
      <c r="AB146" s="1006"/>
      <c r="AC146" s="1006"/>
      <c r="AD146" s="1006"/>
      <c r="AE146" s="1006"/>
      <c r="AF146" s="1006"/>
      <c r="AG146" s="1006"/>
      <c r="AH146" s="1006"/>
      <c r="AI146" s="1006"/>
      <c r="AJ146" s="1006"/>
      <c r="AK146" s="1006"/>
      <c r="AL146" s="1006"/>
      <c r="AM146" s="1006"/>
      <c r="AN146" s="1006"/>
      <c r="AO146" s="1006"/>
      <c r="AP146" s="1006"/>
      <c r="AQ146" s="1006"/>
      <c r="AR146" s="1006"/>
      <c r="AS146" s="1006"/>
    </row>
    <row r="147">
      <c r="A147" s="1006"/>
      <c r="B147" s="1006"/>
      <c r="C147" s="1006"/>
      <c r="D147" s="1006"/>
      <c r="E147" s="1006"/>
      <c r="F147" s="1006"/>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c r="AA147" s="1006"/>
      <c r="AB147" s="1006"/>
      <c r="AC147" s="1006"/>
      <c r="AD147" s="1006"/>
      <c r="AE147" s="1006"/>
      <c r="AF147" s="1006"/>
      <c r="AG147" s="1006"/>
      <c r="AH147" s="1006"/>
      <c r="AI147" s="1006"/>
      <c r="AJ147" s="1006"/>
      <c r="AK147" s="1006"/>
      <c r="AL147" s="1006"/>
      <c r="AM147" s="1006"/>
      <c r="AN147" s="1006"/>
      <c r="AO147" s="1006"/>
      <c r="AP147" s="1006"/>
      <c r="AQ147" s="1006"/>
      <c r="AR147" s="1006"/>
      <c r="AS147" s="1006"/>
    </row>
    <row r="148">
      <c r="A148" s="1006"/>
      <c r="B148" s="1006"/>
      <c r="C148" s="1006"/>
      <c r="D148" s="1006"/>
      <c r="E148" s="1006"/>
      <c r="F148" s="1006"/>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c r="AA148" s="1006"/>
      <c r="AB148" s="1006"/>
      <c r="AC148" s="1006"/>
      <c r="AD148" s="1006"/>
      <c r="AE148" s="1006"/>
      <c r="AF148" s="1006"/>
      <c r="AG148" s="1006"/>
      <c r="AH148" s="1006"/>
      <c r="AI148" s="1006"/>
      <c r="AJ148" s="1006"/>
      <c r="AK148" s="1006"/>
      <c r="AL148" s="1006"/>
      <c r="AM148" s="1006"/>
      <c r="AN148" s="1006"/>
      <c r="AO148" s="1006"/>
      <c r="AP148" s="1006"/>
      <c r="AQ148" s="1006"/>
      <c r="AR148" s="1006"/>
      <c r="AS148" s="1006"/>
    </row>
    <row r="149">
      <c r="A149" s="1006"/>
      <c r="B149" s="1006"/>
      <c r="C149" s="1006"/>
      <c r="D149" s="1006"/>
      <c r="E149" s="1006"/>
      <c r="F149" s="1006"/>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c r="AA149" s="1006"/>
      <c r="AB149" s="1006"/>
      <c r="AC149" s="1006"/>
      <c r="AD149" s="1006"/>
      <c r="AE149" s="1006"/>
      <c r="AF149" s="1006"/>
      <c r="AG149" s="1006"/>
      <c r="AH149" s="1006"/>
      <c r="AI149" s="1006"/>
      <c r="AJ149" s="1006"/>
      <c r="AK149" s="1006"/>
      <c r="AL149" s="1006"/>
      <c r="AM149" s="1006"/>
      <c r="AN149" s="1006"/>
      <c r="AO149" s="1006"/>
      <c r="AP149" s="1006"/>
      <c r="AQ149" s="1006"/>
      <c r="AR149" s="1006"/>
      <c r="AS149" s="1006"/>
    </row>
    <row r="150">
      <c r="A150" s="1006"/>
      <c r="B150" s="1006"/>
      <c r="C150" s="1006"/>
      <c r="D150" s="1006"/>
      <c r="E150" s="1006"/>
      <c r="F150" s="1006"/>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c r="AA150" s="1006"/>
      <c r="AB150" s="1006"/>
      <c r="AC150" s="1006"/>
      <c r="AD150" s="1006"/>
      <c r="AE150" s="1006"/>
      <c r="AF150" s="1006"/>
      <c r="AG150" s="1006"/>
      <c r="AH150" s="1006"/>
      <c r="AI150" s="1006"/>
      <c r="AJ150" s="1006"/>
      <c r="AK150" s="1006"/>
      <c r="AL150" s="1006"/>
      <c r="AM150" s="1006"/>
      <c r="AN150" s="1006"/>
      <c r="AO150" s="1006"/>
      <c r="AP150" s="1006"/>
      <c r="AQ150" s="1006"/>
      <c r="AR150" s="1006"/>
      <c r="AS150" s="1006"/>
    </row>
    <row r="151">
      <c r="A151" s="1006"/>
      <c r="B151" s="1006"/>
      <c r="C151" s="1006"/>
      <c r="D151" s="1006"/>
      <c r="E151" s="1006"/>
      <c r="F151" s="1006"/>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c r="AA151" s="1006"/>
      <c r="AB151" s="1006"/>
      <c r="AC151" s="1006"/>
      <c r="AD151" s="1006"/>
      <c r="AE151" s="1006"/>
      <c r="AF151" s="1006"/>
      <c r="AG151" s="1006"/>
      <c r="AH151" s="1006"/>
      <c r="AI151" s="1006"/>
      <c r="AJ151" s="1006"/>
      <c r="AK151" s="1006"/>
      <c r="AL151" s="1006"/>
      <c r="AM151" s="1006"/>
      <c r="AN151" s="1006"/>
      <c r="AO151" s="1006"/>
      <c r="AP151" s="1006"/>
      <c r="AQ151" s="1006"/>
      <c r="AR151" s="1006"/>
      <c r="AS151" s="1006"/>
    </row>
    <row r="152">
      <c r="A152" s="1006"/>
      <c r="B152" s="1006"/>
      <c r="C152" s="1006"/>
      <c r="D152" s="1006"/>
      <c r="E152" s="1006"/>
      <c r="F152" s="1006"/>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c r="AA152" s="1006"/>
      <c r="AB152" s="1006"/>
      <c r="AC152" s="1006"/>
      <c r="AD152" s="1006"/>
      <c r="AE152" s="1006"/>
      <c r="AF152" s="1006"/>
      <c r="AG152" s="1006"/>
      <c r="AH152" s="1006"/>
      <c r="AI152" s="1006"/>
      <c r="AJ152" s="1006"/>
      <c r="AK152" s="1006"/>
      <c r="AL152" s="1006"/>
      <c r="AM152" s="1006"/>
      <c r="AN152" s="1006"/>
      <c r="AO152" s="1006"/>
      <c r="AP152" s="1006"/>
      <c r="AQ152" s="1006"/>
      <c r="AR152" s="1006"/>
      <c r="AS152" s="1006"/>
    </row>
    <row r="153">
      <c r="A153" s="1006"/>
      <c r="B153" s="1006"/>
      <c r="C153" s="1006"/>
      <c r="D153" s="1006"/>
      <c r="E153" s="1006"/>
      <c r="F153" s="1006"/>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c r="AA153" s="1006"/>
      <c r="AB153" s="1006"/>
      <c r="AC153" s="1006"/>
      <c r="AD153" s="1006"/>
      <c r="AE153" s="1006"/>
      <c r="AF153" s="1006"/>
      <c r="AG153" s="1006"/>
      <c r="AH153" s="1006"/>
      <c r="AI153" s="1006"/>
      <c r="AJ153" s="1006"/>
      <c r="AK153" s="1006"/>
      <c r="AL153" s="1006"/>
      <c r="AM153" s="1006"/>
      <c r="AN153" s="1006"/>
      <c r="AO153" s="1006"/>
      <c r="AP153" s="1006"/>
      <c r="AQ153" s="1006"/>
      <c r="AR153" s="1006"/>
      <c r="AS153" s="1006"/>
    </row>
    <row r="154">
      <c r="A154" s="1006"/>
      <c r="B154" s="1006"/>
      <c r="C154" s="1006"/>
      <c r="D154" s="1006"/>
      <c r="E154" s="1006"/>
      <c r="F154" s="1006"/>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c r="AA154" s="1006"/>
      <c r="AB154" s="1006"/>
      <c r="AC154" s="1006"/>
      <c r="AD154" s="1006"/>
      <c r="AE154" s="1006"/>
      <c r="AF154" s="1006"/>
      <c r="AG154" s="1006"/>
      <c r="AH154" s="1006"/>
      <c r="AI154" s="1006"/>
      <c r="AJ154" s="1006"/>
      <c r="AK154" s="1006"/>
      <c r="AL154" s="1006"/>
      <c r="AM154" s="1006"/>
      <c r="AN154" s="1006"/>
      <c r="AO154" s="1006"/>
      <c r="AP154" s="1006"/>
      <c r="AQ154" s="1006"/>
      <c r="AR154" s="1006"/>
      <c r="AS154" s="1006"/>
    </row>
    <row r="155">
      <c r="A155" s="1006"/>
      <c r="B155" s="1006"/>
      <c r="C155" s="1006"/>
      <c r="D155" s="1006"/>
      <c r="E155" s="1006"/>
      <c r="F155" s="1006"/>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c r="AA155" s="1006"/>
      <c r="AB155" s="1006"/>
      <c r="AC155" s="1006"/>
      <c r="AD155" s="1006"/>
      <c r="AE155" s="1006"/>
      <c r="AF155" s="1006"/>
      <c r="AG155" s="1006"/>
      <c r="AH155" s="1006"/>
      <c r="AI155" s="1006"/>
      <c r="AJ155" s="1006"/>
      <c r="AK155" s="1006"/>
      <c r="AL155" s="1006"/>
      <c r="AM155" s="1006"/>
      <c r="AN155" s="1006"/>
      <c r="AO155" s="1006"/>
      <c r="AP155" s="1006"/>
      <c r="AQ155" s="1006"/>
      <c r="AR155" s="1006"/>
      <c r="AS155" s="1006"/>
    </row>
    <row r="156">
      <c r="A156" s="1006"/>
      <c r="B156" s="1006"/>
      <c r="C156" s="1006"/>
      <c r="D156" s="1006"/>
      <c r="E156" s="1006"/>
      <c r="F156" s="1006"/>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c r="AA156" s="1006"/>
      <c r="AB156" s="1006"/>
      <c r="AC156" s="1006"/>
      <c r="AD156" s="1006"/>
      <c r="AE156" s="1006"/>
      <c r="AF156" s="1006"/>
      <c r="AG156" s="1006"/>
      <c r="AH156" s="1006"/>
      <c r="AI156" s="1006"/>
      <c r="AJ156" s="1006"/>
      <c r="AK156" s="1006"/>
      <c r="AL156" s="1006"/>
      <c r="AM156" s="1006"/>
      <c r="AN156" s="1006"/>
      <c r="AO156" s="1006"/>
      <c r="AP156" s="1006"/>
      <c r="AQ156" s="1006"/>
      <c r="AR156" s="1006"/>
      <c r="AS156" s="1006"/>
    </row>
    <row r="157">
      <c r="A157" s="1006"/>
      <c r="B157" s="1006"/>
      <c r="C157" s="1006"/>
      <c r="D157" s="1006"/>
      <c r="E157" s="1006"/>
      <c r="F157" s="1006"/>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c r="AA157" s="1006"/>
      <c r="AB157" s="1006"/>
      <c r="AC157" s="1006"/>
      <c r="AD157" s="1006"/>
      <c r="AE157" s="1006"/>
      <c r="AF157" s="1006"/>
      <c r="AG157" s="1006"/>
      <c r="AH157" s="1006"/>
      <c r="AI157" s="1006"/>
      <c r="AJ157" s="1006"/>
      <c r="AK157" s="1006"/>
      <c r="AL157" s="1006"/>
      <c r="AM157" s="1006"/>
      <c r="AN157" s="1006"/>
      <c r="AO157" s="1006"/>
      <c r="AP157" s="1006"/>
      <c r="AQ157" s="1006"/>
      <c r="AR157" s="1006"/>
      <c r="AS157" s="1006"/>
    </row>
    <row r="158">
      <c r="A158" s="1006"/>
      <c r="B158" s="1006"/>
      <c r="C158" s="1006"/>
      <c r="D158" s="1006"/>
      <c r="E158" s="1006"/>
      <c r="F158" s="1006"/>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c r="AA158" s="1006"/>
      <c r="AB158" s="1006"/>
      <c r="AC158" s="1006"/>
      <c r="AD158" s="1006"/>
      <c r="AE158" s="1006"/>
      <c r="AF158" s="1006"/>
      <c r="AG158" s="1006"/>
      <c r="AH158" s="1006"/>
      <c r="AI158" s="1006"/>
      <c r="AJ158" s="1006"/>
      <c r="AK158" s="1006"/>
      <c r="AL158" s="1006"/>
      <c r="AM158" s="1006"/>
      <c r="AN158" s="1006"/>
      <c r="AO158" s="1006"/>
      <c r="AP158" s="1006"/>
      <c r="AQ158" s="1006"/>
      <c r="AR158" s="1006"/>
      <c r="AS158" s="1006"/>
    </row>
    <row r="159">
      <c r="A159" s="1006"/>
      <c r="B159" s="1006"/>
      <c r="C159" s="1006"/>
      <c r="D159" s="1006"/>
      <c r="E159" s="1006"/>
      <c r="F159" s="1006"/>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c r="AA159" s="1006"/>
      <c r="AB159" s="1006"/>
      <c r="AC159" s="1006"/>
      <c r="AD159" s="1006"/>
      <c r="AE159" s="1006"/>
      <c r="AF159" s="1006"/>
      <c r="AG159" s="1006"/>
      <c r="AH159" s="1006"/>
      <c r="AI159" s="1006"/>
      <c r="AJ159" s="1006"/>
      <c r="AK159" s="1006"/>
      <c r="AL159" s="1006"/>
      <c r="AM159" s="1006"/>
      <c r="AN159" s="1006"/>
      <c r="AO159" s="1006"/>
      <c r="AP159" s="1006"/>
      <c r="AQ159" s="1006"/>
      <c r="AR159" s="1006"/>
      <c r="AS159" s="1006"/>
    </row>
    <row r="160">
      <c r="A160" s="1006"/>
      <c r="B160" s="1006"/>
      <c r="C160" s="1006"/>
      <c r="D160" s="1006"/>
      <c r="E160" s="1006"/>
      <c r="F160" s="1006"/>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c r="AA160" s="1006"/>
      <c r="AB160" s="1006"/>
      <c r="AC160" s="1006"/>
      <c r="AD160" s="1006"/>
      <c r="AE160" s="1006"/>
      <c r="AF160" s="1006"/>
      <c r="AG160" s="1006"/>
      <c r="AH160" s="1006"/>
      <c r="AI160" s="1006"/>
      <c r="AJ160" s="1006"/>
      <c r="AK160" s="1006"/>
      <c r="AL160" s="1006"/>
      <c r="AM160" s="1006"/>
      <c r="AN160" s="1006"/>
      <c r="AO160" s="1006"/>
      <c r="AP160" s="1006"/>
      <c r="AQ160" s="1006"/>
      <c r="AR160" s="1006"/>
      <c r="AS160" s="1006"/>
    </row>
    <row r="161">
      <c r="A161" s="1006"/>
      <c r="B161" s="1006"/>
      <c r="C161" s="1006"/>
      <c r="D161" s="1006"/>
      <c r="E161" s="1006"/>
      <c r="F161" s="1006"/>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c r="AA161" s="1006"/>
      <c r="AB161" s="1006"/>
      <c r="AC161" s="1006"/>
      <c r="AD161" s="1006"/>
      <c r="AE161" s="1006"/>
      <c r="AF161" s="1006"/>
      <c r="AG161" s="1006"/>
      <c r="AH161" s="1006"/>
      <c r="AI161" s="1006"/>
      <c r="AJ161" s="1006"/>
      <c r="AK161" s="1006"/>
      <c r="AL161" s="1006"/>
      <c r="AM161" s="1006"/>
      <c r="AN161" s="1006"/>
      <c r="AO161" s="1006"/>
      <c r="AP161" s="1006"/>
      <c r="AQ161" s="1006"/>
      <c r="AR161" s="1006"/>
      <c r="AS161" s="1006"/>
    </row>
    <row r="162">
      <c r="A162" s="1006"/>
      <c r="B162" s="1006"/>
      <c r="C162" s="1006"/>
      <c r="D162" s="1006"/>
      <c r="E162" s="1006"/>
      <c r="F162" s="1006"/>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c r="AA162" s="1006"/>
      <c r="AB162" s="1006"/>
      <c r="AC162" s="1006"/>
      <c r="AD162" s="1006"/>
      <c r="AE162" s="1006"/>
      <c r="AF162" s="1006"/>
      <c r="AG162" s="1006"/>
      <c r="AH162" s="1006"/>
      <c r="AI162" s="1006"/>
      <c r="AJ162" s="1006"/>
      <c r="AK162" s="1006"/>
      <c r="AL162" s="1006"/>
      <c r="AM162" s="1006"/>
      <c r="AN162" s="1006"/>
      <c r="AO162" s="1006"/>
      <c r="AP162" s="1006"/>
      <c r="AQ162" s="1006"/>
      <c r="AR162" s="1006"/>
      <c r="AS162" s="1006"/>
    </row>
    <row r="163">
      <c r="A163" s="1006"/>
      <c r="B163" s="1006"/>
      <c r="C163" s="1006"/>
      <c r="D163" s="1006"/>
      <c r="E163" s="1006"/>
      <c r="F163" s="1006"/>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c r="AA163" s="1006"/>
      <c r="AB163" s="1006"/>
      <c r="AC163" s="1006"/>
      <c r="AD163" s="1006"/>
      <c r="AE163" s="1006"/>
      <c r="AF163" s="1006"/>
      <c r="AG163" s="1006"/>
      <c r="AH163" s="1006"/>
      <c r="AI163" s="1006"/>
      <c r="AJ163" s="1006"/>
      <c r="AK163" s="1006"/>
      <c r="AL163" s="1006"/>
      <c r="AM163" s="1006"/>
      <c r="AN163" s="1006"/>
      <c r="AO163" s="1006"/>
      <c r="AP163" s="1006"/>
      <c r="AQ163" s="1006"/>
      <c r="AR163" s="1006"/>
      <c r="AS163" s="1006"/>
    </row>
    <row r="164">
      <c r="A164" s="1006"/>
      <c r="B164" s="1006"/>
      <c r="C164" s="1006"/>
      <c r="D164" s="1006"/>
      <c r="E164" s="1006"/>
      <c r="F164" s="1006"/>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c r="AA164" s="1006"/>
      <c r="AB164" s="1006"/>
      <c r="AC164" s="1006"/>
      <c r="AD164" s="1006"/>
      <c r="AE164" s="1006"/>
      <c r="AF164" s="1006"/>
      <c r="AG164" s="1006"/>
      <c r="AH164" s="1006"/>
      <c r="AI164" s="1006"/>
      <c r="AJ164" s="1006"/>
      <c r="AK164" s="1006"/>
      <c r="AL164" s="1006"/>
      <c r="AM164" s="1006"/>
      <c r="AN164" s="1006"/>
      <c r="AO164" s="1006"/>
      <c r="AP164" s="1006"/>
      <c r="AQ164" s="1006"/>
      <c r="AR164" s="1006"/>
      <c r="AS164" s="1006"/>
    </row>
    <row r="165">
      <c r="A165" s="1006"/>
      <c r="B165" s="1006"/>
      <c r="C165" s="1006"/>
      <c r="D165" s="1006"/>
      <c r="E165" s="1006"/>
      <c r="F165" s="1006"/>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c r="AA165" s="1006"/>
      <c r="AB165" s="1006"/>
      <c r="AC165" s="1006"/>
      <c r="AD165" s="1006"/>
      <c r="AE165" s="1006"/>
      <c r="AF165" s="1006"/>
      <c r="AG165" s="1006"/>
      <c r="AH165" s="1006"/>
      <c r="AI165" s="1006"/>
      <c r="AJ165" s="1006"/>
      <c r="AK165" s="1006"/>
      <c r="AL165" s="1006"/>
      <c r="AM165" s="1006"/>
      <c r="AN165" s="1006"/>
      <c r="AO165" s="1006"/>
      <c r="AP165" s="1006"/>
      <c r="AQ165" s="1006"/>
      <c r="AR165" s="1006"/>
      <c r="AS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c r="AA166" s="1006"/>
      <c r="AB166" s="1006"/>
      <c r="AC166" s="1006"/>
      <c r="AD166" s="1006"/>
      <c r="AE166" s="1006"/>
      <c r="AF166" s="1006"/>
      <c r="AG166" s="1006"/>
      <c r="AH166" s="1006"/>
      <c r="AI166" s="1006"/>
      <c r="AJ166" s="1006"/>
      <c r="AK166" s="1006"/>
      <c r="AL166" s="1006"/>
      <c r="AM166" s="1006"/>
      <c r="AN166" s="1006"/>
      <c r="AO166" s="1006"/>
      <c r="AP166" s="1006"/>
      <c r="AQ166" s="1006"/>
      <c r="AR166" s="1006"/>
      <c r="AS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c r="AA167" s="1006"/>
      <c r="AB167" s="1006"/>
      <c r="AC167" s="1006"/>
      <c r="AD167" s="1006"/>
      <c r="AE167" s="1006"/>
      <c r="AF167" s="1006"/>
      <c r="AG167" s="1006"/>
      <c r="AH167" s="1006"/>
      <c r="AI167" s="1006"/>
      <c r="AJ167" s="1006"/>
      <c r="AK167" s="1006"/>
      <c r="AL167" s="1006"/>
      <c r="AM167" s="1006"/>
      <c r="AN167" s="1006"/>
      <c r="AO167" s="1006"/>
      <c r="AP167" s="1006"/>
      <c r="AQ167" s="1006"/>
      <c r="AR167" s="1006"/>
      <c r="AS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c r="AA168" s="1006"/>
      <c r="AB168" s="1006"/>
      <c r="AC168" s="1006"/>
      <c r="AD168" s="1006"/>
      <c r="AE168" s="1006"/>
      <c r="AF168" s="1006"/>
      <c r="AG168" s="1006"/>
      <c r="AH168" s="1006"/>
      <c r="AI168" s="1006"/>
      <c r="AJ168" s="1006"/>
      <c r="AK168" s="1006"/>
      <c r="AL168" s="1006"/>
      <c r="AM168" s="1006"/>
      <c r="AN168" s="1006"/>
      <c r="AO168" s="1006"/>
      <c r="AP168" s="1006"/>
      <c r="AQ168" s="1006"/>
      <c r="AR168" s="1006"/>
      <c r="AS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c r="AA169" s="1006"/>
      <c r="AB169" s="1006"/>
      <c r="AC169" s="1006"/>
      <c r="AD169" s="1006"/>
      <c r="AE169" s="1006"/>
      <c r="AF169" s="1006"/>
      <c r="AG169" s="1006"/>
      <c r="AH169" s="1006"/>
      <c r="AI169" s="1006"/>
      <c r="AJ169" s="1006"/>
      <c r="AK169" s="1006"/>
      <c r="AL169" s="1006"/>
      <c r="AM169" s="1006"/>
      <c r="AN169" s="1006"/>
      <c r="AO169" s="1006"/>
      <c r="AP169" s="1006"/>
      <c r="AQ169" s="1006"/>
      <c r="AR169" s="1006"/>
      <c r="AS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c r="AA170" s="1006"/>
      <c r="AB170" s="1006"/>
      <c r="AC170" s="1006"/>
      <c r="AD170" s="1006"/>
      <c r="AE170" s="1006"/>
      <c r="AF170" s="1006"/>
      <c r="AG170" s="1006"/>
      <c r="AH170" s="1006"/>
      <c r="AI170" s="1006"/>
      <c r="AJ170" s="1006"/>
      <c r="AK170" s="1006"/>
      <c r="AL170" s="1006"/>
      <c r="AM170" s="1006"/>
      <c r="AN170" s="1006"/>
      <c r="AO170" s="1006"/>
      <c r="AP170" s="1006"/>
      <c r="AQ170" s="1006"/>
      <c r="AR170" s="1006"/>
      <c r="AS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c r="AA171" s="1006"/>
      <c r="AB171" s="1006"/>
      <c r="AC171" s="1006"/>
      <c r="AD171" s="1006"/>
      <c r="AE171" s="1006"/>
      <c r="AF171" s="1006"/>
      <c r="AG171" s="1006"/>
      <c r="AH171" s="1006"/>
      <c r="AI171" s="1006"/>
      <c r="AJ171" s="1006"/>
      <c r="AK171" s="1006"/>
      <c r="AL171" s="1006"/>
      <c r="AM171" s="1006"/>
      <c r="AN171" s="1006"/>
      <c r="AO171" s="1006"/>
      <c r="AP171" s="1006"/>
      <c r="AQ171" s="1006"/>
      <c r="AR171" s="1006"/>
      <c r="AS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c r="AA172" s="1006"/>
      <c r="AB172" s="1006"/>
      <c r="AC172" s="1006"/>
      <c r="AD172" s="1006"/>
      <c r="AE172" s="1006"/>
      <c r="AF172" s="1006"/>
      <c r="AG172" s="1006"/>
      <c r="AH172" s="1006"/>
      <c r="AI172" s="1006"/>
      <c r="AJ172" s="1006"/>
      <c r="AK172" s="1006"/>
      <c r="AL172" s="1006"/>
      <c r="AM172" s="1006"/>
      <c r="AN172" s="1006"/>
      <c r="AO172" s="1006"/>
      <c r="AP172" s="1006"/>
      <c r="AQ172" s="1006"/>
      <c r="AR172" s="1006"/>
      <c r="AS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c r="AA173" s="1006"/>
      <c r="AB173" s="1006"/>
      <c r="AC173" s="1006"/>
      <c r="AD173" s="1006"/>
      <c r="AE173" s="1006"/>
      <c r="AF173" s="1006"/>
      <c r="AG173" s="1006"/>
      <c r="AH173" s="1006"/>
      <c r="AI173" s="1006"/>
      <c r="AJ173" s="1006"/>
      <c r="AK173" s="1006"/>
      <c r="AL173" s="1006"/>
      <c r="AM173" s="1006"/>
      <c r="AN173" s="1006"/>
      <c r="AO173" s="1006"/>
      <c r="AP173" s="1006"/>
      <c r="AQ173" s="1006"/>
      <c r="AR173" s="1006"/>
      <c r="AS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c r="AA174" s="1006"/>
      <c r="AB174" s="1006"/>
      <c r="AC174" s="1006"/>
      <c r="AD174" s="1006"/>
      <c r="AE174" s="1006"/>
      <c r="AF174" s="1006"/>
      <c r="AG174" s="1006"/>
      <c r="AH174" s="1006"/>
      <c r="AI174" s="1006"/>
      <c r="AJ174" s="1006"/>
      <c r="AK174" s="1006"/>
      <c r="AL174" s="1006"/>
      <c r="AM174" s="1006"/>
      <c r="AN174" s="1006"/>
      <c r="AO174" s="1006"/>
      <c r="AP174" s="1006"/>
      <c r="AQ174" s="1006"/>
      <c r="AR174" s="1006"/>
      <c r="AS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c r="AA175" s="1006"/>
      <c r="AB175" s="1006"/>
      <c r="AC175" s="1006"/>
      <c r="AD175" s="1006"/>
      <c r="AE175" s="1006"/>
      <c r="AF175" s="1006"/>
      <c r="AG175" s="1006"/>
      <c r="AH175" s="1006"/>
      <c r="AI175" s="1006"/>
      <c r="AJ175" s="1006"/>
      <c r="AK175" s="1006"/>
      <c r="AL175" s="1006"/>
      <c r="AM175" s="1006"/>
      <c r="AN175" s="1006"/>
      <c r="AO175" s="1006"/>
      <c r="AP175" s="1006"/>
      <c r="AQ175" s="1006"/>
      <c r="AR175" s="1006"/>
      <c r="AS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c r="AA176" s="1006"/>
      <c r="AB176" s="1006"/>
      <c r="AC176" s="1006"/>
      <c r="AD176" s="1006"/>
      <c r="AE176" s="1006"/>
      <c r="AF176" s="1006"/>
      <c r="AG176" s="1006"/>
      <c r="AH176" s="1006"/>
      <c r="AI176" s="1006"/>
      <c r="AJ176" s="1006"/>
      <c r="AK176" s="1006"/>
      <c r="AL176" s="1006"/>
      <c r="AM176" s="1006"/>
      <c r="AN176" s="1006"/>
      <c r="AO176" s="1006"/>
      <c r="AP176" s="1006"/>
      <c r="AQ176" s="1006"/>
      <c r="AR176" s="1006"/>
      <c r="AS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c r="AA177" s="1006"/>
      <c r="AB177" s="1006"/>
      <c r="AC177" s="1006"/>
      <c r="AD177" s="1006"/>
      <c r="AE177" s="1006"/>
      <c r="AF177" s="1006"/>
      <c r="AG177" s="1006"/>
      <c r="AH177" s="1006"/>
      <c r="AI177" s="1006"/>
      <c r="AJ177" s="1006"/>
      <c r="AK177" s="1006"/>
      <c r="AL177" s="1006"/>
      <c r="AM177" s="1006"/>
      <c r="AN177" s="1006"/>
      <c r="AO177" s="1006"/>
      <c r="AP177" s="1006"/>
      <c r="AQ177" s="1006"/>
      <c r="AR177" s="1006"/>
      <c r="AS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c r="AA178" s="1006"/>
      <c r="AB178" s="1006"/>
      <c r="AC178" s="1006"/>
      <c r="AD178" s="1006"/>
      <c r="AE178" s="1006"/>
      <c r="AF178" s="1006"/>
      <c r="AG178" s="1006"/>
      <c r="AH178" s="1006"/>
      <c r="AI178" s="1006"/>
      <c r="AJ178" s="1006"/>
      <c r="AK178" s="1006"/>
      <c r="AL178" s="1006"/>
      <c r="AM178" s="1006"/>
      <c r="AN178" s="1006"/>
      <c r="AO178" s="1006"/>
      <c r="AP178" s="1006"/>
      <c r="AQ178" s="1006"/>
      <c r="AR178" s="1006"/>
      <c r="AS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c r="AA179" s="1006"/>
      <c r="AB179" s="1006"/>
      <c r="AC179" s="1006"/>
      <c r="AD179" s="1006"/>
      <c r="AE179" s="1006"/>
      <c r="AF179" s="1006"/>
      <c r="AG179" s="1006"/>
      <c r="AH179" s="1006"/>
      <c r="AI179" s="1006"/>
      <c r="AJ179" s="1006"/>
      <c r="AK179" s="1006"/>
      <c r="AL179" s="1006"/>
      <c r="AM179" s="1006"/>
      <c r="AN179" s="1006"/>
      <c r="AO179" s="1006"/>
      <c r="AP179" s="1006"/>
      <c r="AQ179" s="1006"/>
      <c r="AR179" s="1006"/>
      <c r="AS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c r="AA180" s="1006"/>
      <c r="AB180" s="1006"/>
      <c r="AC180" s="1006"/>
      <c r="AD180" s="1006"/>
      <c r="AE180" s="1006"/>
      <c r="AF180" s="1006"/>
      <c r="AG180" s="1006"/>
      <c r="AH180" s="1006"/>
      <c r="AI180" s="1006"/>
      <c r="AJ180" s="1006"/>
      <c r="AK180" s="1006"/>
      <c r="AL180" s="1006"/>
      <c r="AM180" s="1006"/>
      <c r="AN180" s="1006"/>
      <c r="AO180" s="1006"/>
      <c r="AP180" s="1006"/>
      <c r="AQ180" s="1006"/>
      <c r="AR180" s="1006"/>
      <c r="AS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c r="AA181" s="1006"/>
      <c r="AB181" s="1006"/>
      <c r="AC181" s="1006"/>
      <c r="AD181" s="1006"/>
      <c r="AE181" s="1006"/>
      <c r="AF181" s="1006"/>
      <c r="AG181" s="1006"/>
      <c r="AH181" s="1006"/>
      <c r="AI181" s="1006"/>
      <c r="AJ181" s="1006"/>
      <c r="AK181" s="1006"/>
      <c r="AL181" s="1006"/>
      <c r="AM181" s="1006"/>
      <c r="AN181" s="1006"/>
      <c r="AO181" s="1006"/>
      <c r="AP181" s="1006"/>
      <c r="AQ181" s="1006"/>
      <c r="AR181" s="1006"/>
      <c r="AS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c r="AA182" s="1006"/>
      <c r="AB182" s="1006"/>
      <c r="AC182" s="1006"/>
      <c r="AD182" s="1006"/>
      <c r="AE182" s="1006"/>
      <c r="AF182" s="1006"/>
      <c r="AG182" s="1006"/>
      <c r="AH182" s="1006"/>
      <c r="AI182" s="1006"/>
      <c r="AJ182" s="1006"/>
      <c r="AK182" s="1006"/>
      <c r="AL182" s="1006"/>
      <c r="AM182" s="1006"/>
      <c r="AN182" s="1006"/>
      <c r="AO182" s="1006"/>
      <c r="AP182" s="1006"/>
      <c r="AQ182" s="1006"/>
      <c r="AR182" s="1006"/>
      <c r="AS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c r="AA183" s="1006"/>
      <c r="AB183" s="1006"/>
      <c r="AC183" s="1006"/>
      <c r="AD183" s="1006"/>
      <c r="AE183" s="1006"/>
      <c r="AF183" s="1006"/>
      <c r="AG183" s="1006"/>
      <c r="AH183" s="1006"/>
      <c r="AI183" s="1006"/>
      <c r="AJ183" s="1006"/>
      <c r="AK183" s="1006"/>
      <c r="AL183" s="1006"/>
      <c r="AM183" s="1006"/>
      <c r="AN183" s="1006"/>
      <c r="AO183" s="1006"/>
      <c r="AP183" s="1006"/>
      <c r="AQ183" s="1006"/>
      <c r="AR183" s="1006"/>
      <c r="AS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c r="AA184" s="1006"/>
      <c r="AB184" s="1006"/>
      <c r="AC184" s="1006"/>
      <c r="AD184" s="1006"/>
      <c r="AE184" s="1006"/>
      <c r="AF184" s="1006"/>
      <c r="AG184" s="1006"/>
      <c r="AH184" s="1006"/>
      <c r="AI184" s="1006"/>
      <c r="AJ184" s="1006"/>
      <c r="AK184" s="1006"/>
      <c r="AL184" s="1006"/>
      <c r="AM184" s="1006"/>
      <c r="AN184" s="1006"/>
      <c r="AO184" s="1006"/>
      <c r="AP184" s="1006"/>
      <c r="AQ184" s="1006"/>
      <c r="AR184" s="1006"/>
      <c r="AS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c r="AA185" s="1006"/>
      <c r="AB185" s="1006"/>
      <c r="AC185" s="1006"/>
      <c r="AD185" s="1006"/>
      <c r="AE185" s="1006"/>
      <c r="AF185" s="1006"/>
      <c r="AG185" s="1006"/>
      <c r="AH185" s="1006"/>
      <c r="AI185" s="1006"/>
      <c r="AJ185" s="1006"/>
      <c r="AK185" s="1006"/>
      <c r="AL185" s="1006"/>
      <c r="AM185" s="1006"/>
      <c r="AN185" s="1006"/>
      <c r="AO185" s="1006"/>
      <c r="AP185" s="1006"/>
      <c r="AQ185" s="1006"/>
      <c r="AR185" s="1006"/>
      <c r="AS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c r="AA186" s="1006"/>
      <c r="AB186" s="1006"/>
      <c r="AC186" s="1006"/>
      <c r="AD186" s="1006"/>
      <c r="AE186" s="1006"/>
      <c r="AF186" s="1006"/>
      <c r="AG186" s="1006"/>
      <c r="AH186" s="1006"/>
      <c r="AI186" s="1006"/>
      <c r="AJ186" s="1006"/>
      <c r="AK186" s="1006"/>
      <c r="AL186" s="1006"/>
      <c r="AM186" s="1006"/>
      <c r="AN186" s="1006"/>
      <c r="AO186" s="1006"/>
      <c r="AP186" s="1006"/>
      <c r="AQ186" s="1006"/>
      <c r="AR186" s="1006"/>
      <c r="AS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c r="AA187" s="1006"/>
      <c r="AB187" s="1006"/>
      <c r="AC187" s="1006"/>
      <c r="AD187" s="1006"/>
      <c r="AE187" s="1006"/>
      <c r="AF187" s="1006"/>
      <c r="AG187" s="1006"/>
      <c r="AH187" s="1006"/>
      <c r="AI187" s="1006"/>
      <c r="AJ187" s="1006"/>
      <c r="AK187" s="1006"/>
      <c r="AL187" s="1006"/>
      <c r="AM187" s="1006"/>
      <c r="AN187" s="1006"/>
      <c r="AO187" s="1006"/>
      <c r="AP187" s="1006"/>
      <c r="AQ187" s="1006"/>
      <c r="AR187" s="1006"/>
      <c r="AS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c r="AA188" s="1006"/>
      <c r="AB188" s="1006"/>
      <c r="AC188" s="1006"/>
      <c r="AD188" s="1006"/>
      <c r="AE188" s="1006"/>
      <c r="AF188" s="1006"/>
      <c r="AG188" s="1006"/>
      <c r="AH188" s="1006"/>
      <c r="AI188" s="1006"/>
      <c r="AJ188" s="1006"/>
      <c r="AK188" s="1006"/>
      <c r="AL188" s="1006"/>
      <c r="AM188" s="1006"/>
      <c r="AN188" s="1006"/>
      <c r="AO188" s="1006"/>
      <c r="AP188" s="1006"/>
      <c r="AQ188" s="1006"/>
      <c r="AR188" s="1006"/>
      <c r="AS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c r="AA189" s="1006"/>
      <c r="AB189" s="1006"/>
      <c r="AC189" s="1006"/>
      <c r="AD189" s="1006"/>
      <c r="AE189" s="1006"/>
      <c r="AF189" s="1006"/>
      <c r="AG189" s="1006"/>
      <c r="AH189" s="1006"/>
      <c r="AI189" s="1006"/>
      <c r="AJ189" s="1006"/>
      <c r="AK189" s="1006"/>
      <c r="AL189" s="1006"/>
      <c r="AM189" s="1006"/>
      <c r="AN189" s="1006"/>
      <c r="AO189" s="1006"/>
      <c r="AP189" s="1006"/>
      <c r="AQ189" s="1006"/>
      <c r="AR189" s="1006"/>
      <c r="AS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c r="AA190" s="1006"/>
      <c r="AB190" s="1006"/>
      <c r="AC190" s="1006"/>
      <c r="AD190" s="1006"/>
      <c r="AE190" s="1006"/>
      <c r="AF190" s="1006"/>
      <c r="AG190" s="1006"/>
      <c r="AH190" s="1006"/>
      <c r="AI190" s="1006"/>
      <c r="AJ190" s="1006"/>
      <c r="AK190" s="1006"/>
      <c r="AL190" s="1006"/>
      <c r="AM190" s="1006"/>
      <c r="AN190" s="1006"/>
      <c r="AO190" s="1006"/>
      <c r="AP190" s="1006"/>
      <c r="AQ190" s="1006"/>
      <c r="AR190" s="1006"/>
      <c r="AS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c r="AA191" s="1006"/>
      <c r="AB191" s="1006"/>
      <c r="AC191" s="1006"/>
      <c r="AD191" s="1006"/>
      <c r="AE191" s="1006"/>
      <c r="AF191" s="1006"/>
      <c r="AG191" s="1006"/>
      <c r="AH191" s="1006"/>
      <c r="AI191" s="1006"/>
      <c r="AJ191" s="1006"/>
      <c r="AK191" s="1006"/>
      <c r="AL191" s="1006"/>
      <c r="AM191" s="1006"/>
      <c r="AN191" s="1006"/>
      <c r="AO191" s="1006"/>
      <c r="AP191" s="1006"/>
      <c r="AQ191" s="1006"/>
      <c r="AR191" s="1006"/>
      <c r="AS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c r="AA192" s="1006"/>
      <c r="AB192" s="1006"/>
      <c r="AC192" s="1006"/>
      <c r="AD192" s="1006"/>
      <c r="AE192" s="1006"/>
      <c r="AF192" s="1006"/>
      <c r="AG192" s="1006"/>
      <c r="AH192" s="1006"/>
      <c r="AI192" s="1006"/>
      <c r="AJ192" s="1006"/>
      <c r="AK192" s="1006"/>
      <c r="AL192" s="1006"/>
      <c r="AM192" s="1006"/>
      <c r="AN192" s="1006"/>
      <c r="AO192" s="1006"/>
      <c r="AP192" s="1006"/>
      <c r="AQ192" s="1006"/>
      <c r="AR192" s="1006"/>
      <c r="AS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c r="AA193" s="1006"/>
      <c r="AB193" s="1006"/>
      <c r="AC193" s="1006"/>
      <c r="AD193" s="1006"/>
      <c r="AE193" s="1006"/>
      <c r="AF193" s="1006"/>
      <c r="AG193" s="1006"/>
      <c r="AH193" s="1006"/>
      <c r="AI193" s="1006"/>
      <c r="AJ193" s="1006"/>
      <c r="AK193" s="1006"/>
      <c r="AL193" s="1006"/>
      <c r="AM193" s="1006"/>
      <c r="AN193" s="1006"/>
      <c r="AO193" s="1006"/>
      <c r="AP193" s="1006"/>
      <c r="AQ193" s="1006"/>
      <c r="AR193" s="1006"/>
      <c r="AS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c r="AA194" s="1006"/>
      <c r="AB194" s="1006"/>
      <c r="AC194" s="1006"/>
      <c r="AD194" s="1006"/>
      <c r="AE194" s="1006"/>
      <c r="AF194" s="1006"/>
      <c r="AG194" s="1006"/>
      <c r="AH194" s="1006"/>
      <c r="AI194" s="1006"/>
      <c r="AJ194" s="1006"/>
      <c r="AK194" s="1006"/>
      <c r="AL194" s="1006"/>
      <c r="AM194" s="1006"/>
      <c r="AN194" s="1006"/>
      <c r="AO194" s="1006"/>
      <c r="AP194" s="1006"/>
      <c r="AQ194" s="1006"/>
      <c r="AR194" s="1006"/>
      <c r="AS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c r="AA195" s="1006"/>
      <c r="AB195" s="1006"/>
      <c r="AC195" s="1006"/>
      <c r="AD195" s="1006"/>
      <c r="AE195" s="1006"/>
      <c r="AF195" s="1006"/>
      <c r="AG195" s="1006"/>
      <c r="AH195" s="1006"/>
      <c r="AI195" s="1006"/>
      <c r="AJ195" s="1006"/>
      <c r="AK195" s="1006"/>
      <c r="AL195" s="1006"/>
      <c r="AM195" s="1006"/>
      <c r="AN195" s="1006"/>
      <c r="AO195" s="1006"/>
      <c r="AP195" s="1006"/>
      <c r="AQ195" s="1006"/>
      <c r="AR195" s="1006"/>
      <c r="AS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c r="AA196" s="1006"/>
      <c r="AB196" s="1006"/>
      <c r="AC196" s="1006"/>
      <c r="AD196" s="1006"/>
      <c r="AE196" s="1006"/>
      <c r="AF196" s="1006"/>
      <c r="AG196" s="1006"/>
      <c r="AH196" s="1006"/>
      <c r="AI196" s="1006"/>
      <c r="AJ196" s="1006"/>
      <c r="AK196" s="1006"/>
      <c r="AL196" s="1006"/>
      <c r="AM196" s="1006"/>
      <c r="AN196" s="1006"/>
      <c r="AO196" s="1006"/>
      <c r="AP196" s="1006"/>
      <c r="AQ196" s="1006"/>
      <c r="AR196" s="1006"/>
      <c r="AS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c r="AA197" s="1006"/>
      <c r="AB197" s="1006"/>
      <c r="AC197" s="1006"/>
      <c r="AD197" s="1006"/>
      <c r="AE197" s="1006"/>
      <c r="AF197" s="1006"/>
      <c r="AG197" s="1006"/>
      <c r="AH197" s="1006"/>
      <c r="AI197" s="1006"/>
      <c r="AJ197" s="1006"/>
      <c r="AK197" s="1006"/>
      <c r="AL197" s="1006"/>
      <c r="AM197" s="1006"/>
      <c r="AN197" s="1006"/>
      <c r="AO197" s="1006"/>
      <c r="AP197" s="1006"/>
      <c r="AQ197" s="1006"/>
      <c r="AR197" s="1006"/>
      <c r="AS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c r="AA198" s="1006"/>
      <c r="AB198" s="1006"/>
      <c r="AC198" s="1006"/>
      <c r="AD198" s="1006"/>
      <c r="AE198" s="1006"/>
      <c r="AF198" s="1006"/>
      <c r="AG198" s="1006"/>
      <c r="AH198" s="1006"/>
      <c r="AI198" s="1006"/>
      <c r="AJ198" s="1006"/>
      <c r="AK198" s="1006"/>
      <c r="AL198" s="1006"/>
      <c r="AM198" s="1006"/>
      <c r="AN198" s="1006"/>
      <c r="AO198" s="1006"/>
      <c r="AP198" s="1006"/>
      <c r="AQ198" s="1006"/>
      <c r="AR198" s="1006"/>
      <c r="AS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c r="AA199" s="1006"/>
      <c r="AB199" s="1006"/>
      <c r="AC199" s="1006"/>
      <c r="AD199" s="1006"/>
      <c r="AE199" s="1006"/>
      <c r="AF199" s="1006"/>
      <c r="AG199" s="1006"/>
      <c r="AH199" s="1006"/>
      <c r="AI199" s="1006"/>
      <c r="AJ199" s="1006"/>
      <c r="AK199" s="1006"/>
      <c r="AL199" s="1006"/>
      <c r="AM199" s="1006"/>
      <c r="AN199" s="1006"/>
      <c r="AO199" s="1006"/>
      <c r="AP199" s="1006"/>
      <c r="AQ199" s="1006"/>
      <c r="AR199" s="1006"/>
      <c r="AS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c r="AA200" s="1006"/>
      <c r="AB200" s="1006"/>
      <c r="AC200" s="1006"/>
      <c r="AD200" s="1006"/>
      <c r="AE200" s="1006"/>
      <c r="AF200" s="1006"/>
      <c r="AG200" s="1006"/>
      <c r="AH200" s="1006"/>
      <c r="AI200" s="1006"/>
      <c r="AJ200" s="1006"/>
      <c r="AK200" s="1006"/>
      <c r="AL200" s="1006"/>
      <c r="AM200" s="1006"/>
      <c r="AN200" s="1006"/>
      <c r="AO200" s="1006"/>
      <c r="AP200" s="1006"/>
      <c r="AQ200" s="1006"/>
      <c r="AR200" s="1006"/>
      <c r="AS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c r="AA201" s="1006"/>
      <c r="AB201" s="1006"/>
      <c r="AC201" s="1006"/>
      <c r="AD201" s="1006"/>
      <c r="AE201" s="1006"/>
      <c r="AF201" s="1006"/>
      <c r="AG201" s="1006"/>
      <c r="AH201" s="1006"/>
      <c r="AI201" s="1006"/>
      <c r="AJ201" s="1006"/>
      <c r="AK201" s="1006"/>
      <c r="AL201" s="1006"/>
      <c r="AM201" s="1006"/>
      <c r="AN201" s="1006"/>
      <c r="AO201" s="1006"/>
      <c r="AP201" s="1006"/>
      <c r="AQ201" s="1006"/>
      <c r="AR201" s="1006"/>
      <c r="AS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c r="AA202" s="1006"/>
      <c r="AB202" s="1006"/>
      <c r="AC202" s="1006"/>
      <c r="AD202" s="1006"/>
      <c r="AE202" s="1006"/>
      <c r="AF202" s="1006"/>
      <c r="AG202" s="1006"/>
      <c r="AH202" s="1006"/>
      <c r="AI202" s="1006"/>
      <c r="AJ202" s="1006"/>
      <c r="AK202" s="1006"/>
      <c r="AL202" s="1006"/>
      <c r="AM202" s="1006"/>
      <c r="AN202" s="1006"/>
      <c r="AO202" s="1006"/>
      <c r="AP202" s="1006"/>
      <c r="AQ202" s="1006"/>
      <c r="AR202" s="1006"/>
      <c r="AS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c r="AA203" s="1006"/>
      <c r="AB203" s="1006"/>
      <c r="AC203" s="1006"/>
      <c r="AD203" s="1006"/>
      <c r="AE203" s="1006"/>
      <c r="AF203" s="1006"/>
      <c r="AG203" s="1006"/>
      <c r="AH203" s="1006"/>
      <c r="AI203" s="1006"/>
      <c r="AJ203" s="1006"/>
      <c r="AK203" s="1006"/>
      <c r="AL203" s="1006"/>
      <c r="AM203" s="1006"/>
      <c r="AN203" s="1006"/>
      <c r="AO203" s="1006"/>
      <c r="AP203" s="1006"/>
      <c r="AQ203" s="1006"/>
      <c r="AR203" s="1006"/>
      <c r="AS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c r="AA204" s="1006"/>
      <c r="AB204" s="1006"/>
      <c r="AC204" s="1006"/>
      <c r="AD204" s="1006"/>
      <c r="AE204" s="1006"/>
      <c r="AF204" s="1006"/>
      <c r="AG204" s="1006"/>
      <c r="AH204" s="1006"/>
      <c r="AI204" s="1006"/>
      <c r="AJ204" s="1006"/>
      <c r="AK204" s="1006"/>
      <c r="AL204" s="1006"/>
      <c r="AM204" s="1006"/>
      <c r="AN204" s="1006"/>
      <c r="AO204" s="1006"/>
      <c r="AP204" s="1006"/>
      <c r="AQ204" s="1006"/>
      <c r="AR204" s="1006"/>
      <c r="AS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c r="AA205" s="1006"/>
      <c r="AB205" s="1006"/>
      <c r="AC205" s="1006"/>
      <c r="AD205" s="1006"/>
      <c r="AE205" s="1006"/>
      <c r="AF205" s="1006"/>
      <c r="AG205" s="1006"/>
      <c r="AH205" s="1006"/>
      <c r="AI205" s="1006"/>
      <c r="AJ205" s="1006"/>
      <c r="AK205" s="1006"/>
      <c r="AL205" s="1006"/>
      <c r="AM205" s="1006"/>
      <c r="AN205" s="1006"/>
      <c r="AO205" s="1006"/>
      <c r="AP205" s="1006"/>
      <c r="AQ205" s="1006"/>
      <c r="AR205" s="1006"/>
      <c r="AS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c r="AA206" s="1006"/>
      <c r="AB206" s="1006"/>
      <c r="AC206" s="1006"/>
      <c r="AD206" s="1006"/>
      <c r="AE206" s="1006"/>
      <c r="AF206" s="1006"/>
      <c r="AG206" s="1006"/>
      <c r="AH206" s="1006"/>
      <c r="AI206" s="1006"/>
      <c r="AJ206" s="1006"/>
      <c r="AK206" s="1006"/>
      <c r="AL206" s="1006"/>
      <c r="AM206" s="1006"/>
      <c r="AN206" s="1006"/>
      <c r="AO206" s="1006"/>
      <c r="AP206" s="1006"/>
      <c r="AQ206" s="1006"/>
      <c r="AR206" s="1006"/>
      <c r="AS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c r="AA207" s="1006"/>
      <c r="AB207" s="1006"/>
      <c r="AC207" s="1006"/>
      <c r="AD207" s="1006"/>
      <c r="AE207" s="1006"/>
      <c r="AF207" s="1006"/>
      <c r="AG207" s="1006"/>
      <c r="AH207" s="1006"/>
      <c r="AI207" s="1006"/>
      <c r="AJ207" s="1006"/>
      <c r="AK207" s="1006"/>
      <c r="AL207" s="1006"/>
      <c r="AM207" s="1006"/>
      <c r="AN207" s="1006"/>
      <c r="AO207" s="1006"/>
      <c r="AP207" s="1006"/>
      <c r="AQ207" s="1006"/>
      <c r="AR207" s="1006"/>
      <c r="AS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c r="AA208" s="1006"/>
      <c r="AB208" s="1006"/>
      <c r="AC208" s="1006"/>
      <c r="AD208" s="1006"/>
      <c r="AE208" s="1006"/>
      <c r="AF208" s="1006"/>
      <c r="AG208" s="1006"/>
      <c r="AH208" s="1006"/>
      <c r="AI208" s="1006"/>
      <c r="AJ208" s="1006"/>
      <c r="AK208" s="1006"/>
      <c r="AL208" s="1006"/>
      <c r="AM208" s="1006"/>
      <c r="AN208" s="1006"/>
      <c r="AO208" s="1006"/>
      <c r="AP208" s="1006"/>
      <c r="AQ208" s="1006"/>
      <c r="AR208" s="1006"/>
      <c r="AS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c r="AA209" s="1006"/>
      <c r="AB209" s="1006"/>
      <c r="AC209" s="1006"/>
      <c r="AD209" s="1006"/>
      <c r="AE209" s="1006"/>
      <c r="AF209" s="1006"/>
      <c r="AG209" s="1006"/>
      <c r="AH209" s="1006"/>
      <c r="AI209" s="1006"/>
      <c r="AJ209" s="1006"/>
      <c r="AK209" s="1006"/>
      <c r="AL209" s="1006"/>
      <c r="AM209" s="1006"/>
      <c r="AN209" s="1006"/>
      <c r="AO209" s="1006"/>
      <c r="AP209" s="1006"/>
      <c r="AQ209" s="1006"/>
      <c r="AR209" s="1006"/>
      <c r="AS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c r="AA210" s="1006"/>
      <c r="AB210" s="1006"/>
      <c r="AC210" s="1006"/>
      <c r="AD210" s="1006"/>
      <c r="AE210" s="1006"/>
      <c r="AF210" s="1006"/>
      <c r="AG210" s="1006"/>
      <c r="AH210" s="1006"/>
      <c r="AI210" s="1006"/>
      <c r="AJ210" s="1006"/>
      <c r="AK210" s="1006"/>
      <c r="AL210" s="1006"/>
      <c r="AM210" s="1006"/>
      <c r="AN210" s="1006"/>
      <c r="AO210" s="1006"/>
      <c r="AP210" s="1006"/>
      <c r="AQ210" s="1006"/>
      <c r="AR210" s="1006"/>
      <c r="AS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c r="AA211" s="1006"/>
      <c r="AB211" s="1006"/>
      <c r="AC211" s="1006"/>
      <c r="AD211" s="1006"/>
      <c r="AE211" s="1006"/>
      <c r="AF211" s="1006"/>
      <c r="AG211" s="1006"/>
      <c r="AH211" s="1006"/>
      <c r="AI211" s="1006"/>
      <c r="AJ211" s="1006"/>
      <c r="AK211" s="1006"/>
      <c r="AL211" s="1006"/>
      <c r="AM211" s="1006"/>
      <c r="AN211" s="1006"/>
      <c r="AO211" s="1006"/>
      <c r="AP211" s="1006"/>
      <c r="AQ211" s="1006"/>
      <c r="AR211" s="1006"/>
      <c r="AS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c r="AA212" s="1006"/>
      <c r="AB212" s="1006"/>
      <c r="AC212" s="1006"/>
      <c r="AD212" s="1006"/>
      <c r="AE212" s="1006"/>
      <c r="AF212" s="1006"/>
      <c r="AG212" s="1006"/>
      <c r="AH212" s="1006"/>
      <c r="AI212" s="1006"/>
      <c r="AJ212" s="1006"/>
      <c r="AK212" s="1006"/>
      <c r="AL212" s="1006"/>
      <c r="AM212" s="1006"/>
      <c r="AN212" s="1006"/>
      <c r="AO212" s="1006"/>
      <c r="AP212" s="1006"/>
      <c r="AQ212" s="1006"/>
      <c r="AR212" s="1006"/>
      <c r="AS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c r="AA213" s="1006"/>
      <c r="AB213" s="1006"/>
      <c r="AC213" s="1006"/>
      <c r="AD213" s="1006"/>
      <c r="AE213" s="1006"/>
      <c r="AF213" s="1006"/>
      <c r="AG213" s="1006"/>
      <c r="AH213" s="1006"/>
      <c r="AI213" s="1006"/>
      <c r="AJ213" s="1006"/>
      <c r="AK213" s="1006"/>
      <c r="AL213" s="1006"/>
      <c r="AM213" s="1006"/>
      <c r="AN213" s="1006"/>
      <c r="AO213" s="1006"/>
      <c r="AP213" s="1006"/>
      <c r="AQ213" s="1006"/>
      <c r="AR213" s="1006"/>
      <c r="AS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c r="AA214" s="1006"/>
      <c r="AB214" s="1006"/>
      <c r="AC214" s="1006"/>
      <c r="AD214" s="1006"/>
      <c r="AE214" s="1006"/>
      <c r="AF214" s="1006"/>
      <c r="AG214" s="1006"/>
      <c r="AH214" s="1006"/>
      <c r="AI214" s="1006"/>
      <c r="AJ214" s="1006"/>
      <c r="AK214" s="1006"/>
      <c r="AL214" s="1006"/>
      <c r="AM214" s="1006"/>
      <c r="AN214" s="1006"/>
      <c r="AO214" s="1006"/>
      <c r="AP214" s="1006"/>
      <c r="AQ214" s="1006"/>
      <c r="AR214" s="1006"/>
      <c r="AS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c r="AA215" s="1006"/>
      <c r="AB215" s="1006"/>
      <c r="AC215" s="1006"/>
      <c r="AD215" s="1006"/>
      <c r="AE215" s="1006"/>
      <c r="AF215" s="1006"/>
      <c r="AG215" s="1006"/>
      <c r="AH215" s="1006"/>
      <c r="AI215" s="1006"/>
      <c r="AJ215" s="1006"/>
      <c r="AK215" s="1006"/>
      <c r="AL215" s="1006"/>
      <c r="AM215" s="1006"/>
      <c r="AN215" s="1006"/>
      <c r="AO215" s="1006"/>
      <c r="AP215" s="1006"/>
      <c r="AQ215" s="1006"/>
      <c r="AR215" s="1006"/>
      <c r="AS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c r="AA216" s="1006"/>
      <c r="AB216" s="1006"/>
      <c r="AC216" s="1006"/>
      <c r="AD216" s="1006"/>
      <c r="AE216" s="1006"/>
      <c r="AF216" s="1006"/>
      <c r="AG216" s="1006"/>
      <c r="AH216" s="1006"/>
      <c r="AI216" s="1006"/>
      <c r="AJ216" s="1006"/>
      <c r="AK216" s="1006"/>
      <c r="AL216" s="1006"/>
      <c r="AM216" s="1006"/>
      <c r="AN216" s="1006"/>
      <c r="AO216" s="1006"/>
      <c r="AP216" s="1006"/>
      <c r="AQ216" s="1006"/>
      <c r="AR216" s="1006"/>
      <c r="AS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c r="AA217" s="1006"/>
      <c r="AB217" s="1006"/>
      <c r="AC217" s="1006"/>
      <c r="AD217" s="1006"/>
      <c r="AE217" s="1006"/>
      <c r="AF217" s="1006"/>
      <c r="AG217" s="1006"/>
      <c r="AH217" s="1006"/>
      <c r="AI217" s="1006"/>
      <c r="AJ217" s="1006"/>
      <c r="AK217" s="1006"/>
      <c r="AL217" s="1006"/>
      <c r="AM217" s="1006"/>
      <c r="AN217" s="1006"/>
      <c r="AO217" s="1006"/>
      <c r="AP217" s="1006"/>
      <c r="AQ217" s="1006"/>
      <c r="AR217" s="1006"/>
      <c r="AS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c r="AA218" s="1006"/>
      <c r="AB218" s="1006"/>
      <c r="AC218" s="1006"/>
      <c r="AD218" s="1006"/>
      <c r="AE218" s="1006"/>
      <c r="AF218" s="1006"/>
      <c r="AG218" s="1006"/>
      <c r="AH218" s="1006"/>
      <c r="AI218" s="1006"/>
      <c r="AJ218" s="1006"/>
      <c r="AK218" s="1006"/>
      <c r="AL218" s="1006"/>
      <c r="AM218" s="1006"/>
      <c r="AN218" s="1006"/>
      <c r="AO218" s="1006"/>
      <c r="AP218" s="1006"/>
      <c r="AQ218" s="1006"/>
      <c r="AR218" s="1006"/>
      <c r="AS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c r="AA219" s="1006"/>
      <c r="AB219" s="1006"/>
      <c r="AC219" s="1006"/>
      <c r="AD219" s="1006"/>
      <c r="AE219" s="1006"/>
      <c r="AF219" s="1006"/>
      <c r="AG219" s="1006"/>
      <c r="AH219" s="1006"/>
      <c r="AI219" s="1006"/>
      <c r="AJ219" s="1006"/>
      <c r="AK219" s="1006"/>
      <c r="AL219" s="1006"/>
      <c r="AM219" s="1006"/>
      <c r="AN219" s="1006"/>
      <c r="AO219" s="1006"/>
      <c r="AP219" s="1006"/>
      <c r="AQ219" s="1006"/>
      <c r="AR219" s="1006"/>
      <c r="AS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c r="AA220" s="1006"/>
      <c r="AB220" s="1006"/>
      <c r="AC220" s="1006"/>
      <c r="AD220" s="1006"/>
      <c r="AE220" s="1006"/>
      <c r="AF220" s="1006"/>
      <c r="AG220" s="1006"/>
      <c r="AH220" s="1006"/>
      <c r="AI220" s="1006"/>
      <c r="AJ220" s="1006"/>
      <c r="AK220" s="1006"/>
      <c r="AL220" s="1006"/>
      <c r="AM220" s="1006"/>
      <c r="AN220" s="1006"/>
      <c r="AO220" s="1006"/>
      <c r="AP220" s="1006"/>
      <c r="AQ220" s="1006"/>
      <c r="AR220" s="1006"/>
      <c r="AS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c r="AA221" s="1006"/>
      <c r="AB221" s="1006"/>
      <c r="AC221" s="1006"/>
      <c r="AD221" s="1006"/>
      <c r="AE221" s="1006"/>
      <c r="AF221" s="1006"/>
      <c r="AG221" s="1006"/>
      <c r="AH221" s="1006"/>
      <c r="AI221" s="1006"/>
      <c r="AJ221" s="1006"/>
      <c r="AK221" s="1006"/>
      <c r="AL221" s="1006"/>
      <c r="AM221" s="1006"/>
      <c r="AN221" s="1006"/>
      <c r="AO221" s="1006"/>
      <c r="AP221" s="1006"/>
      <c r="AQ221" s="1006"/>
      <c r="AR221" s="1006"/>
      <c r="AS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c r="AA222" s="1006"/>
      <c r="AB222" s="1006"/>
      <c r="AC222" s="1006"/>
      <c r="AD222" s="1006"/>
      <c r="AE222" s="1006"/>
      <c r="AF222" s="1006"/>
      <c r="AG222" s="1006"/>
      <c r="AH222" s="1006"/>
      <c r="AI222" s="1006"/>
      <c r="AJ222" s="1006"/>
      <c r="AK222" s="1006"/>
      <c r="AL222" s="1006"/>
      <c r="AM222" s="1006"/>
      <c r="AN222" s="1006"/>
      <c r="AO222" s="1006"/>
      <c r="AP222" s="1006"/>
      <c r="AQ222" s="1006"/>
      <c r="AR222" s="1006"/>
      <c r="AS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c r="AA223" s="1006"/>
      <c r="AB223" s="1006"/>
      <c r="AC223" s="1006"/>
      <c r="AD223" s="1006"/>
      <c r="AE223" s="1006"/>
      <c r="AF223" s="1006"/>
      <c r="AG223" s="1006"/>
      <c r="AH223" s="1006"/>
      <c r="AI223" s="1006"/>
      <c r="AJ223" s="1006"/>
      <c r="AK223" s="1006"/>
      <c r="AL223" s="1006"/>
      <c r="AM223" s="1006"/>
      <c r="AN223" s="1006"/>
      <c r="AO223" s="1006"/>
      <c r="AP223" s="1006"/>
      <c r="AQ223" s="1006"/>
      <c r="AR223" s="1006"/>
      <c r="AS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c r="AA224" s="1006"/>
      <c r="AB224" s="1006"/>
      <c r="AC224" s="1006"/>
      <c r="AD224" s="1006"/>
      <c r="AE224" s="1006"/>
      <c r="AF224" s="1006"/>
      <c r="AG224" s="1006"/>
      <c r="AH224" s="1006"/>
      <c r="AI224" s="1006"/>
      <c r="AJ224" s="1006"/>
      <c r="AK224" s="1006"/>
      <c r="AL224" s="1006"/>
      <c r="AM224" s="1006"/>
      <c r="AN224" s="1006"/>
      <c r="AO224" s="1006"/>
      <c r="AP224" s="1006"/>
      <c r="AQ224" s="1006"/>
      <c r="AR224" s="1006"/>
      <c r="AS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c r="AA225" s="1006"/>
      <c r="AB225" s="1006"/>
      <c r="AC225" s="1006"/>
      <c r="AD225" s="1006"/>
      <c r="AE225" s="1006"/>
      <c r="AF225" s="1006"/>
      <c r="AG225" s="1006"/>
      <c r="AH225" s="1006"/>
      <c r="AI225" s="1006"/>
      <c r="AJ225" s="1006"/>
      <c r="AK225" s="1006"/>
      <c r="AL225" s="1006"/>
      <c r="AM225" s="1006"/>
      <c r="AN225" s="1006"/>
      <c r="AO225" s="1006"/>
      <c r="AP225" s="1006"/>
      <c r="AQ225" s="1006"/>
      <c r="AR225" s="1006"/>
      <c r="AS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c r="AA226" s="1006"/>
      <c r="AB226" s="1006"/>
      <c r="AC226" s="1006"/>
      <c r="AD226" s="1006"/>
      <c r="AE226" s="1006"/>
      <c r="AF226" s="1006"/>
      <c r="AG226" s="1006"/>
      <c r="AH226" s="1006"/>
      <c r="AI226" s="1006"/>
      <c r="AJ226" s="1006"/>
      <c r="AK226" s="1006"/>
      <c r="AL226" s="1006"/>
      <c r="AM226" s="1006"/>
      <c r="AN226" s="1006"/>
      <c r="AO226" s="1006"/>
      <c r="AP226" s="1006"/>
      <c r="AQ226" s="1006"/>
      <c r="AR226" s="1006"/>
      <c r="AS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c r="AA227" s="1006"/>
      <c r="AB227" s="1006"/>
      <c r="AC227" s="1006"/>
      <c r="AD227" s="1006"/>
      <c r="AE227" s="1006"/>
      <c r="AF227" s="1006"/>
      <c r="AG227" s="1006"/>
      <c r="AH227" s="1006"/>
      <c r="AI227" s="1006"/>
      <c r="AJ227" s="1006"/>
      <c r="AK227" s="1006"/>
      <c r="AL227" s="1006"/>
      <c r="AM227" s="1006"/>
      <c r="AN227" s="1006"/>
      <c r="AO227" s="1006"/>
      <c r="AP227" s="1006"/>
      <c r="AQ227" s="1006"/>
      <c r="AR227" s="1006"/>
      <c r="AS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c r="AA228" s="1006"/>
      <c r="AB228" s="1006"/>
      <c r="AC228" s="1006"/>
      <c r="AD228" s="1006"/>
      <c r="AE228" s="1006"/>
      <c r="AF228" s="1006"/>
      <c r="AG228" s="1006"/>
      <c r="AH228" s="1006"/>
      <c r="AI228" s="1006"/>
      <c r="AJ228" s="1006"/>
      <c r="AK228" s="1006"/>
      <c r="AL228" s="1006"/>
      <c r="AM228" s="1006"/>
      <c r="AN228" s="1006"/>
      <c r="AO228" s="1006"/>
      <c r="AP228" s="1006"/>
      <c r="AQ228" s="1006"/>
      <c r="AR228" s="1006"/>
      <c r="AS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c r="AA229" s="1006"/>
      <c r="AB229" s="1006"/>
      <c r="AC229" s="1006"/>
      <c r="AD229" s="1006"/>
      <c r="AE229" s="1006"/>
      <c r="AF229" s="1006"/>
      <c r="AG229" s="1006"/>
      <c r="AH229" s="1006"/>
      <c r="AI229" s="1006"/>
      <c r="AJ229" s="1006"/>
      <c r="AK229" s="1006"/>
      <c r="AL229" s="1006"/>
      <c r="AM229" s="1006"/>
      <c r="AN229" s="1006"/>
      <c r="AO229" s="1006"/>
      <c r="AP229" s="1006"/>
      <c r="AQ229" s="1006"/>
      <c r="AR229" s="1006"/>
      <c r="AS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c r="AA230" s="1006"/>
      <c r="AB230" s="1006"/>
      <c r="AC230" s="1006"/>
      <c r="AD230" s="1006"/>
      <c r="AE230" s="1006"/>
      <c r="AF230" s="1006"/>
      <c r="AG230" s="1006"/>
      <c r="AH230" s="1006"/>
      <c r="AI230" s="1006"/>
      <c r="AJ230" s="1006"/>
      <c r="AK230" s="1006"/>
      <c r="AL230" s="1006"/>
      <c r="AM230" s="1006"/>
      <c r="AN230" s="1006"/>
      <c r="AO230" s="1006"/>
      <c r="AP230" s="1006"/>
      <c r="AQ230" s="1006"/>
      <c r="AR230" s="1006"/>
      <c r="AS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c r="AA231" s="1006"/>
      <c r="AB231" s="1006"/>
      <c r="AC231" s="1006"/>
      <c r="AD231" s="1006"/>
      <c r="AE231" s="1006"/>
      <c r="AF231" s="1006"/>
      <c r="AG231" s="1006"/>
      <c r="AH231" s="1006"/>
      <c r="AI231" s="1006"/>
      <c r="AJ231" s="1006"/>
      <c r="AK231" s="1006"/>
      <c r="AL231" s="1006"/>
      <c r="AM231" s="1006"/>
      <c r="AN231" s="1006"/>
      <c r="AO231" s="1006"/>
      <c r="AP231" s="1006"/>
      <c r="AQ231" s="1006"/>
      <c r="AR231" s="1006"/>
      <c r="AS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c r="AA232" s="1006"/>
      <c r="AB232" s="1006"/>
      <c r="AC232" s="1006"/>
      <c r="AD232" s="1006"/>
      <c r="AE232" s="1006"/>
      <c r="AF232" s="1006"/>
      <c r="AG232" s="1006"/>
      <c r="AH232" s="1006"/>
      <c r="AI232" s="1006"/>
      <c r="AJ232" s="1006"/>
      <c r="AK232" s="1006"/>
      <c r="AL232" s="1006"/>
      <c r="AM232" s="1006"/>
      <c r="AN232" s="1006"/>
      <c r="AO232" s="1006"/>
      <c r="AP232" s="1006"/>
      <c r="AQ232" s="1006"/>
      <c r="AR232" s="1006"/>
      <c r="AS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c r="AA233" s="1006"/>
      <c r="AB233" s="1006"/>
      <c r="AC233" s="1006"/>
      <c r="AD233" s="1006"/>
      <c r="AE233" s="1006"/>
      <c r="AF233" s="1006"/>
      <c r="AG233" s="1006"/>
      <c r="AH233" s="1006"/>
      <c r="AI233" s="1006"/>
      <c r="AJ233" s="1006"/>
      <c r="AK233" s="1006"/>
      <c r="AL233" s="1006"/>
      <c r="AM233" s="1006"/>
      <c r="AN233" s="1006"/>
      <c r="AO233" s="1006"/>
      <c r="AP233" s="1006"/>
      <c r="AQ233" s="1006"/>
      <c r="AR233" s="1006"/>
      <c r="AS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c r="AA234" s="1006"/>
      <c r="AB234" s="1006"/>
      <c r="AC234" s="1006"/>
      <c r="AD234" s="1006"/>
      <c r="AE234" s="1006"/>
      <c r="AF234" s="1006"/>
      <c r="AG234" s="1006"/>
      <c r="AH234" s="1006"/>
      <c r="AI234" s="1006"/>
      <c r="AJ234" s="1006"/>
      <c r="AK234" s="1006"/>
      <c r="AL234" s="1006"/>
      <c r="AM234" s="1006"/>
      <c r="AN234" s="1006"/>
      <c r="AO234" s="1006"/>
      <c r="AP234" s="1006"/>
      <c r="AQ234" s="1006"/>
      <c r="AR234" s="1006"/>
      <c r="AS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c r="AA235" s="1006"/>
      <c r="AB235" s="1006"/>
      <c r="AC235" s="1006"/>
      <c r="AD235" s="1006"/>
      <c r="AE235" s="1006"/>
      <c r="AF235" s="1006"/>
      <c r="AG235" s="1006"/>
      <c r="AH235" s="1006"/>
      <c r="AI235" s="1006"/>
      <c r="AJ235" s="1006"/>
      <c r="AK235" s="1006"/>
      <c r="AL235" s="1006"/>
      <c r="AM235" s="1006"/>
      <c r="AN235" s="1006"/>
      <c r="AO235" s="1006"/>
      <c r="AP235" s="1006"/>
      <c r="AQ235" s="1006"/>
      <c r="AR235" s="1006"/>
      <c r="AS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c r="AA236" s="1006"/>
      <c r="AB236" s="1006"/>
      <c r="AC236" s="1006"/>
      <c r="AD236" s="1006"/>
      <c r="AE236" s="1006"/>
      <c r="AF236" s="1006"/>
      <c r="AG236" s="1006"/>
      <c r="AH236" s="1006"/>
      <c r="AI236" s="1006"/>
      <c r="AJ236" s="1006"/>
      <c r="AK236" s="1006"/>
      <c r="AL236" s="1006"/>
      <c r="AM236" s="1006"/>
      <c r="AN236" s="1006"/>
      <c r="AO236" s="1006"/>
      <c r="AP236" s="1006"/>
      <c r="AQ236" s="1006"/>
      <c r="AR236" s="1006"/>
      <c r="AS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c r="AA237" s="1006"/>
      <c r="AB237" s="1006"/>
      <c r="AC237" s="1006"/>
      <c r="AD237" s="1006"/>
      <c r="AE237" s="1006"/>
      <c r="AF237" s="1006"/>
      <c r="AG237" s="1006"/>
      <c r="AH237" s="1006"/>
      <c r="AI237" s="1006"/>
      <c r="AJ237" s="1006"/>
      <c r="AK237" s="1006"/>
      <c r="AL237" s="1006"/>
      <c r="AM237" s="1006"/>
      <c r="AN237" s="1006"/>
      <c r="AO237" s="1006"/>
      <c r="AP237" s="1006"/>
      <c r="AQ237" s="1006"/>
      <c r="AR237" s="1006"/>
      <c r="AS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c r="AA238" s="1006"/>
      <c r="AB238" s="1006"/>
      <c r="AC238" s="1006"/>
      <c r="AD238" s="1006"/>
      <c r="AE238" s="1006"/>
      <c r="AF238" s="1006"/>
      <c r="AG238" s="1006"/>
      <c r="AH238" s="1006"/>
      <c r="AI238" s="1006"/>
      <c r="AJ238" s="1006"/>
      <c r="AK238" s="1006"/>
      <c r="AL238" s="1006"/>
      <c r="AM238" s="1006"/>
      <c r="AN238" s="1006"/>
      <c r="AO238" s="1006"/>
      <c r="AP238" s="1006"/>
      <c r="AQ238" s="1006"/>
      <c r="AR238" s="1006"/>
      <c r="AS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c r="AA239" s="1006"/>
      <c r="AB239" s="1006"/>
      <c r="AC239" s="1006"/>
      <c r="AD239" s="1006"/>
      <c r="AE239" s="1006"/>
      <c r="AF239" s="1006"/>
      <c r="AG239" s="1006"/>
      <c r="AH239" s="1006"/>
      <c r="AI239" s="1006"/>
      <c r="AJ239" s="1006"/>
      <c r="AK239" s="1006"/>
      <c r="AL239" s="1006"/>
      <c r="AM239" s="1006"/>
      <c r="AN239" s="1006"/>
      <c r="AO239" s="1006"/>
      <c r="AP239" s="1006"/>
      <c r="AQ239" s="1006"/>
      <c r="AR239" s="1006"/>
      <c r="AS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c r="AA240" s="1006"/>
      <c r="AB240" s="1006"/>
      <c r="AC240" s="1006"/>
      <c r="AD240" s="1006"/>
      <c r="AE240" s="1006"/>
      <c r="AF240" s="1006"/>
      <c r="AG240" s="1006"/>
      <c r="AH240" s="1006"/>
      <c r="AI240" s="1006"/>
      <c r="AJ240" s="1006"/>
      <c r="AK240" s="1006"/>
      <c r="AL240" s="1006"/>
      <c r="AM240" s="1006"/>
      <c r="AN240" s="1006"/>
      <c r="AO240" s="1006"/>
      <c r="AP240" s="1006"/>
      <c r="AQ240" s="1006"/>
      <c r="AR240" s="1006"/>
      <c r="AS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c r="AA241" s="1006"/>
      <c r="AB241" s="1006"/>
      <c r="AC241" s="1006"/>
      <c r="AD241" s="1006"/>
      <c r="AE241" s="1006"/>
      <c r="AF241" s="1006"/>
      <c r="AG241" s="1006"/>
      <c r="AH241" s="1006"/>
      <c r="AI241" s="1006"/>
      <c r="AJ241" s="1006"/>
      <c r="AK241" s="1006"/>
      <c r="AL241" s="1006"/>
      <c r="AM241" s="1006"/>
      <c r="AN241" s="1006"/>
      <c r="AO241" s="1006"/>
      <c r="AP241" s="1006"/>
      <c r="AQ241" s="1006"/>
      <c r="AR241" s="1006"/>
      <c r="AS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c r="AA242" s="1006"/>
      <c r="AB242" s="1006"/>
      <c r="AC242" s="1006"/>
      <c r="AD242" s="1006"/>
      <c r="AE242" s="1006"/>
      <c r="AF242" s="1006"/>
      <c r="AG242" s="1006"/>
      <c r="AH242" s="1006"/>
      <c r="AI242" s="1006"/>
      <c r="AJ242" s="1006"/>
      <c r="AK242" s="1006"/>
      <c r="AL242" s="1006"/>
      <c r="AM242" s="1006"/>
      <c r="AN242" s="1006"/>
      <c r="AO242" s="1006"/>
      <c r="AP242" s="1006"/>
      <c r="AQ242" s="1006"/>
      <c r="AR242" s="1006"/>
      <c r="AS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c r="AA243" s="1006"/>
      <c r="AB243" s="1006"/>
      <c r="AC243" s="1006"/>
      <c r="AD243" s="1006"/>
      <c r="AE243" s="1006"/>
      <c r="AF243" s="1006"/>
      <c r="AG243" s="1006"/>
      <c r="AH243" s="1006"/>
      <c r="AI243" s="1006"/>
      <c r="AJ243" s="1006"/>
      <c r="AK243" s="1006"/>
      <c r="AL243" s="1006"/>
      <c r="AM243" s="1006"/>
      <c r="AN243" s="1006"/>
      <c r="AO243" s="1006"/>
      <c r="AP243" s="1006"/>
      <c r="AQ243" s="1006"/>
      <c r="AR243" s="1006"/>
      <c r="AS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c r="AA244" s="1006"/>
      <c r="AB244" s="1006"/>
      <c r="AC244" s="1006"/>
      <c r="AD244" s="1006"/>
      <c r="AE244" s="1006"/>
      <c r="AF244" s="1006"/>
      <c r="AG244" s="1006"/>
      <c r="AH244" s="1006"/>
      <c r="AI244" s="1006"/>
      <c r="AJ244" s="1006"/>
      <c r="AK244" s="1006"/>
      <c r="AL244" s="1006"/>
      <c r="AM244" s="1006"/>
      <c r="AN244" s="1006"/>
      <c r="AO244" s="1006"/>
      <c r="AP244" s="1006"/>
      <c r="AQ244" s="1006"/>
      <c r="AR244" s="1006"/>
      <c r="AS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c r="AA245" s="1006"/>
      <c r="AB245" s="1006"/>
      <c r="AC245" s="1006"/>
      <c r="AD245" s="1006"/>
      <c r="AE245" s="1006"/>
      <c r="AF245" s="1006"/>
      <c r="AG245" s="1006"/>
      <c r="AH245" s="1006"/>
      <c r="AI245" s="1006"/>
      <c r="AJ245" s="1006"/>
      <c r="AK245" s="1006"/>
      <c r="AL245" s="1006"/>
      <c r="AM245" s="1006"/>
      <c r="AN245" s="1006"/>
      <c r="AO245" s="1006"/>
      <c r="AP245" s="1006"/>
      <c r="AQ245" s="1006"/>
      <c r="AR245" s="1006"/>
      <c r="AS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c r="AA246" s="1006"/>
      <c r="AB246" s="1006"/>
      <c r="AC246" s="1006"/>
      <c r="AD246" s="1006"/>
      <c r="AE246" s="1006"/>
      <c r="AF246" s="1006"/>
      <c r="AG246" s="1006"/>
      <c r="AH246" s="1006"/>
      <c r="AI246" s="1006"/>
      <c r="AJ246" s="1006"/>
      <c r="AK246" s="1006"/>
      <c r="AL246" s="1006"/>
      <c r="AM246" s="1006"/>
      <c r="AN246" s="1006"/>
      <c r="AO246" s="1006"/>
      <c r="AP246" s="1006"/>
      <c r="AQ246" s="1006"/>
      <c r="AR246" s="1006"/>
      <c r="AS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c r="AA247" s="1006"/>
      <c r="AB247" s="1006"/>
      <c r="AC247" s="1006"/>
      <c r="AD247" s="1006"/>
      <c r="AE247" s="1006"/>
      <c r="AF247" s="1006"/>
      <c r="AG247" s="1006"/>
      <c r="AH247" s="1006"/>
      <c r="AI247" s="1006"/>
      <c r="AJ247" s="1006"/>
      <c r="AK247" s="1006"/>
      <c r="AL247" s="1006"/>
      <c r="AM247" s="1006"/>
      <c r="AN247" s="1006"/>
      <c r="AO247" s="1006"/>
      <c r="AP247" s="1006"/>
      <c r="AQ247" s="1006"/>
      <c r="AR247" s="1006"/>
      <c r="AS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c r="AA248" s="1006"/>
      <c r="AB248" s="1006"/>
      <c r="AC248" s="1006"/>
      <c r="AD248" s="1006"/>
      <c r="AE248" s="1006"/>
      <c r="AF248" s="1006"/>
      <c r="AG248" s="1006"/>
      <c r="AH248" s="1006"/>
      <c r="AI248" s="1006"/>
      <c r="AJ248" s="1006"/>
      <c r="AK248" s="1006"/>
      <c r="AL248" s="1006"/>
      <c r="AM248" s="1006"/>
      <c r="AN248" s="1006"/>
      <c r="AO248" s="1006"/>
      <c r="AP248" s="1006"/>
      <c r="AQ248" s="1006"/>
      <c r="AR248" s="1006"/>
      <c r="AS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c r="AA249" s="1006"/>
      <c r="AB249" s="1006"/>
      <c r="AC249" s="1006"/>
      <c r="AD249" s="1006"/>
      <c r="AE249" s="1006"/>
      <c r="AF249" s="1006"/>
      <c r="AG249" s="1006"/>
      <c r="AH249" s="1006"/>
      <c r="AI249" s="1006"/>
      <c r="AJ249" s="1006"/>
      <c r="AK249" s="1006"/>
      <c r="AL249" s="1006"/>
      <c r="AM249" s="1006"/>
      <c r="AN249" s="1006"/>
      <c r="AO249" s="1006"/>
      <c r="AP249" s="1006"/>
      <c r="AQ249" s="1006"/>
      <c r="AR249" s="1006"/>
      <c r="AS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c r="AA250" s="1006"/>
      <c r="AB250" s="1006"/>
      <c r="AC250" s="1006"/>
      <c r="AD250" s="1006"/>
      <c r="AE250" s="1006"/>
      <c r="AF250" s="1006"/>
      <c r="AG250" s="1006"/>
      <c r="AH250" s="1006"/>
      <c r="AI250" s="1006"/>
      <c r="AJ250" s="1006"/>
      <c r="AK250" s="1006"/>
      <c r="AL250" s="1006"/>
      <c r="AM250" s="1006"/>
      <c r="AN250" s="1006"/>
      <c r="AO250" s="1006"/>
      <c r="AP250" s="1006"/>
      <c r="AQ250" s="1006"/>
      <c r="AR250" s="1006"/>
      <c r="AS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c r="AA251" s="1006"/>
      <c r="AB251" s="1006"/>
      <c r="AC251" s="1006"/>
      <c r="AD251" s="1006"/>
      <c r="AE251" s="1006"/>
      <c r="AF251" s="1006"/>
      <c r="AG251" s="1006"/>
      <c r="AH251" s="1006"/>
      <c r="AI251" s="1006"/>
      <c r="AJ251" s="1006"/>
      <c r="AK251" s="1006"/>
      <c r="AL251" s="1006"/>
      <c r="AM251" s="1006"/>
      <c r="AN251" s="1006"/>
      <c r="AO251" s="1006"/>
      <c r="AP251" s="1006"/>
      <c r="AQ251" s="1006"/>
      <c r="AR251" s="1006"/>
      <c r="AS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c r="AA252" s="1006"/>
      <c r="AB252" s="1006"/>
      <c r="AC252" s="1006"/>
      <c r="AD252" s="1006"/>
      <c r="AE252" s="1006"/>
      <c r="AF252" s="1006"/>
      <c r="AG252" s="1006"/>
      <c r="AH252" s="1006"/>
      <c r="AI252" s="1006"/>
      <c r="AJ252" s="1006"/>
      <c r="AK252" s="1006"/>
      <c r="AL252" s="1006"/>
      <c r="AM252" s="1006"/>
      <c r="AN252" s="1006"/>
      <c r="AO252" s="1006"/>
      <c r="AP252" s="1006"/>
      <c r="AQ252" s="1006"/>
      <c r="AR252" s="1006"/>
      <c r="AS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c r="AA253" s="1006"/>
      <c r="AB253" s="1006"/>
      <c r="AC253" s="1006"/>
      <c r="AD253" s="1006"/>
      <c r="AE253" s="1006"/>
      <c r="AF253" s="1006"/>
      <c r="AG253" s="1006"/>
      <c r="AH253" s="1006"/>
      <c r="AI253" s="1006"/>
      <c r="AJ253" s="1006"/>
      <c r="AK253" s="1006"/>
      <c r="AL253" s="1006"/>
      <c r="AM253" s="1006"/>
      <c r="AN253" s="1006"/>
      <c r="AO253" s="1006"/>
      <c r="AP253" s="1006"/>
      <c r="AQ253" s="1006"/>
      <c r="AR253" s="1006"/>
      <c r="AS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c r="AA254" s="1006"/>
      <c r="AB254" s="1006"/>
      <c r="AC254" s="1006"/>
      <c r="AD254" s="1006"/>
      <c r="AE254" s="1006"/>
      <c r="AF254" s="1006"/>
      <c r="AG254" s="1006"/>
      <c r="AH254" s="1006"/>
      <c r="AI254" s="1006"/>
      <c r="AJ254" s="1006"/>
      <c r="AK254" s="1006"/>
      <c r="AL254" s="1006"/>
      <c r="AM254" s="1006"/>
      <c r="AN254" s="1006"/>
      <c r="AO254" s="1006"/>
      <c r="AP254" s="1006"/>
      <c r="AQ254" s="1006"/>
      <c r="AR254" s="1006"/>
      <c r="AS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c r="AA255" s="1006"/>
      <c r="AB255" s="1006"/>
      <c r="AC255" s="1006"/>
      <c r="AD255" s="1006"/>
      <c r="AE255" s="1006"/>
      <c r="AF255" s="1006"/>
      <c r="AG255" s="1006"/>
      <c r="AH255" s="1006"/>
      <c r="AI255" s="1006"/>
      <c r="AJ255" s="1006"/>
      <c r="AK255" s="1006"/>
      <c r="AL255" s="1006"/>
      <c r="AM255" s="1006"/>
      <c r="AN255" s="1006"/>
      <c r="AO255" s="1006"/>
      <c r="AP255" s="1006"/>
      <c r="AQ255" s="1006"/>
      <c r="AR255" s="1006"/>
      <c r="AS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c r="AA256" s="1006"/>
      <c r="AB256" s="1006"/>
      <c r="AC256" s="1006"/>
      <c r="AD256" s="1006"/>
      <c r="AE256" s="1006"/>
      <c r="AF256" s="1006"/>
      <c r="AG256" s="1006"/>
      <c r="AH256" s="1006"/>
      <c r="AI256" s="1006"/>
      <c r="AJ256" s="1006"/>
      <c r="AK256" s="1006"/>
      <c r="AL256" s="1006"/>
      <c r="AM256" s="1006"/>
      <c r="AN256" s="1006"/>
      <c r="AO256" s="1006"/>
      <c r="AP256" s="1006"/>
      <c r="AQ256" s="1006"/>
      <c r="AR256" s="1006"/>
      <c r="AS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c r="AA257" s="1006"/>
      <c r="AB257" s="1006"/>
      <c r="AC257" s="1006"/>
      <c r="AD257" s="1006"/>
      <c r="AE257" s="1006"/>
      <c r="AF257" s="1006"/>
      <c r="AG257" s="1006"/>
      <c r="AH257" s="1006"/>
      <c r="AI257" s="1006"/>
      <c r="AJ257" s="1006"/>
      <c r="AK257" s="1006"/>
      <c r="AL257" s="1006"/>
      <c r="AM257" s="1006"/>
      <c r="AN257" s="1006"/>
      <c r="AO257" s="1006"/>
      <c r="AP257" s="1006"/>
      <c r="AQ257" s="1006"/>
      <c r="AR257" s="1006"/>
      <c r="AS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c r="AA258" s="1006"/>
      <c r="AB258" s="1006"/>
      <c r="AC258" s="1006"/>
      <c r="AD258" s="1006"/>
      <c r="AE258" s="1006"/>
      <c r="AF258" s="1006"/>
      <c r="AG258" s="1006"/>
      <c r="AH258" s="1006"/>
      <c r="AI258" s="1006"/>
      <c r="AJ258" s="1006"/>
      <c r="AK258" s="1006"/>
      <c r="AL258" s="1006"/>
      <c r="AM258" s="1006"/>
      <c r="AN258" s="1006"/>
      <c r="AO258" s="1006"/>
      <c r="AP258" s="1006"/>
      <c r="AQ258" s="1006"/>
      <c r="AR258" s="1006"/>
      <c r="AS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c r="AA259" s="1006"/>
      <c r="AB259" s="1006"/>
      <c r="AC259" s="1006"/>
      <c r="AD259" s="1006"/>
      <c r="AE259" s="1006"/>
      <c r="AF259" s="1006"/>
      <c r="AG259" s="1006"/>
      <c r="AH259" s="1006"/>
      <c r="AI259" s="1006"/>
      <c r="AJ259" s="1006"/>
      <c r="AK259" s="1006"/>
      <c r="AL259" s="1006"/>
      <c r="AM259" s="1006"/>
      <c r="AN259" s="1006"/>
      <c r="AO259" s="1006"/>
      <c r="AP259" s="1006"/>
      <c r="AQ259" s="1006"/>
      <c r="AR259" s="1006"/>
      <c r="AS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c r="AA260" s="1006"/>
      <c r="AB260" s="1006"/>
      <c r="AC260" s="1006"/>
      <c r="AD260" s="1006"/>
      <c r="AE260" s="1006"/>
      <c r="AF260" s="1006"/>
      <c r="AG260" s="1006"/>
      <c r="AH260" s="1006"/>
      <c r="AI260" s="1006"/>
      <c r="AJ260" s="1006"/>
      <c r="AK260" s="1006"/>
      <c r="AL260" s="1006"/>
      <c r="AM260" s="1006"/>
      <c r="AN260" s="1006"/>
      <c r="AO260" s="1006"/>
      <c r="AP260" s="1006"/>
      <c r="AQ260" s="1006"/>
      <c r="AR260" s="1006"/>
      <c r="AS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c r="AA261" s="1006"/>
      <c r="AB261" s="1006"/>
      <c r="AC261" s="1006"/>
      <c r="AD261" s="1006"/>
      <c r="AE261" s="1006"/>
      <c r="AF261" s="1006"/>
      <c r="AG261" s="1006"/>
      <c r="AH261" s="1006"/>
      <c r="AI261" s="1006"/>
      <c r="AJ261" s="1006"/>
      <c r="AK261" s="1006"/>
      <c r="AL261" s="1006"/>
      <c r="AM261" s="1006"/>
      <c r="AN261" s="1006"/>
      <c r="AO261" s="1006"/>
      <c r="AP261" s="1006"/>
      <c r="AQ261" s="1006"/>
      <c r="AR261" s="1006"/>
      <c r="AS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c r="AA262" s="1006"/>
      <c r="AB262" s="1006"/>
      <c r="AC262" s="1006"/>
      <c r="AD262" s="1006"/>
      <c r="AE262" s="1006"/>
      <c r="AF262" s="1006"/>
      <c r="AG262" s="1006"/>
      <c r="AH262" s="1006"/>
      <c r="AI262" s="1006"/>
      <c r="AJ262" s="1006"/>
      <c r="AK262" s="1006"/>
      <c r="AL262" s="1006"/>
      <c r="AM262" s="1006"/>
      <c r="AN262" s="1006"/>
      <c r="AO262" s="1006"/>
      <c r="AP262" s="1006"/>
      <c r="AQ262" s="1006"/>
      <c r="AR262" s="1006"/>
      <c r="AS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c r="AA263" s="1006"/>
      <c r="AB263" s="1006"/>
      <c r="AC263" s="1006"/>
      <c r="AD263" s="1006"/>
      <c r="AE263" s="1006"/>
      <c r="AF263" s="1006"/>
      <c r="AG263" s="1006"/>
      <c r="AH263" s="1006"/>
      <c r="AI263" s="1006"/>
      <c r="AJ263" s="1006"/>
      <c r="AK263" s="1006"/>
      <c r="AL263" s="1006"/>
      <c r="AM263" s="1006"/>
      <c r="AN263" s="1006"/>
      <c r="AO263" s="1006"/>
      <c r="AP263" s="1006"/>
      <c r="AQ263" s="1006"/>
      <c r="AR263" s="1006"/>
      <c r="AS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c r="AA264" s="1006"/>
      <c r="AB264" s="1006"/>
      <c r="AC264" s="1006"/>
      <c r="AD264" s="1006"/>
      <c r="AE264" s="1006"/>
      <c r="AF264" s="1006"/>
      <c r="AG264" s="1006"/>
      <c r="AH264" s="1006"/>
      <c r="AI264" s="1006"/>
      <c r="AJ264" s="1006"/>
      <c r="AK264" s="1006"/>
      <c r="AL264" s="1006"/>
      <c r="AM264" s="1006"/>
      <c r="AN264" s="1006"/>
      <c r="AO264" s="1006"/>
      <c r="AP264" s="1006"/>
      <c r="AQ264" s="1006"/>
      <c r="AR264" s="1006"/>
      <c r="AS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c r="AA265" s="1006"/>
      <c r="AB265" s="1006"/>
      <c r="AC265" s="1006"/>
      <c r="AD265" s="1006"/>
      <c r="AE265" s="1006"/>
      <c r="AF265" s="1006"/>
      <c r="AG265" s="1006"/>
      <c r="AH265" s="1006"/>
      <c r="AI265" s="1006"/>
      <c r="AJ265" s="1006"/>
      <c r="AK265" s="1006"/>
      <c r="AL265" s="1006"/>
      <c r="AM265" s="1006"/>
      <c r="AN265" s="1006"/>
      <c r="AO265" s="1006"/>
      <c r="AP265" s="1006"/>
      <c r="AQ265" s="1006"/>
      <c r="AR265" s="1006"/>
      <c r="AS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c r="AA266" s="1006"/>
      <c r="AB266" s="1006"/>
      <c r="AC266" s="1006"/>
      <c r="AD266" s="1006"/>
      <c r="AE266" s="1006"/>
      <c r="AF266" s="1006"/>
      <c r="AG266" s="1006"/>
      <c r="AH266" s="1006"/>
      <c r="AI266" s="1006"/>
      <c r="AJ266" s="1006"/>
      <c r="AK266" s="1006"/>
      <c r="AL266" s="1006"/>
      <c r="AM266" s="1006"/>
      <c r="AN266" s="1006"/>
      <c r="AO266" s="1006"/>
      <c r="AP266" s="1006"/>
      <c r="AQ266" s="1006"/>
      <c r="AR266" s="1006"/>
      <c r="AS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c r="AA267" s="1006"/>
      <c r="AB267" s="1006"/>
      <c r="AC267" s="1006"/>
      <c r="AD267" s="1006"/>
      <c r="AE267" s="1006"/>
      <c r="AF267" s="1006"/>
      <c r="AG267" s="1006"/>
      <c r="AH267" s="1006"/>
      <c r="AI267" s="1006"/>
      <c r="AJ267" s="1006"/>
      <c r="AK267" s="1006"/>
      <c r="AL267" s="1006"/>
      <c r="AM267" s="1006"/>
      <c r="AN267" s="1006"/>
      <c r="AO267" s="1006"/>
      <c r="AP267" s="1006"/>
      <c r="AQ267" s="1006"/>
      <c r="AR267" s="1006"/>
      <c r="AS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c r="AA268" s="1006"/>
      <c r="AB268" s="1006"/>
      <c r="AC268" s="1006"/>
      <c r="AD268" s="1006"/>
      <c r="AE268" s="1006"/>
      <c r="AF268" s="1006"/>
      <c r="AG268" s="1006"/>
      <c r="AH268" s="1006"/>
      <c r="AI268" s="1006"/>
      <c r="AJ268" s="1006"/>
      <c r="AK268" s="1006"/>
      <c r="AL268" s="1006"/>
      <c r="AM268" s="1006"/>
      <c r="AN268" s="1006"/>
      <c r="AO268" s="1006"/>
      <c r="AP268" s="1006"/>
      <c r="AQ268" s="1006"/>
      <c r="AR268" s="1006"/>
      <c r="AS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c r="AA269" s="1006"/>
      <c r="AB269" s="1006"/>
      <c r="AC269" s="1006"/>
      <c r="AD269" s="1006"/>
      <c r="AE269" s="1006"/>
      <c r="AF269" s="1006"/>
      <c r="AG269" s="1006"/>
      <c r="AH269" s="1006"/>
      <c r="AI269" s="1006"/>
      <c r="AJ269" s="1006"/>
      <c r="AK269" s="1006"/>
      <c r="AL269" s="1006"/>
      <c r="AM269" s="1006"/>
      <c r="AN269" s="1006"/>
      <c r="AO269" s="1006"/>
      <c r="AP269" s="1006"/>
      <c r="AQ269" s="1006"/>
      <c r="AR269" s="1006"/>
      <c r="AS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c r="AA270" s="1006"/>
      <c r="AB270" s="1006"/>
      <c r="AC270" s="1006"/>
      <c r="AD270" s="1006"/>
      <c r="AE270" s="1006"/>
      <c r="AF270" s="1006"/>
      <c r="AG270" s="1006"/>
      <c r="AH270" s="1006"/>
      <c r="AI270" s="1006"/>
      <c r="AJ270" s="1006"/>
      <c r="AK270" s="1006"/>
      <c r="AL270" s="1006"/>
      <c r="AM270" s="1006"/>
      <c r="AN270" s="1006"/>
      <c r="AO270" s="1006"/>
      <c r="AP270" s="1006"/>
      <c r="AQ270" s="1006"/>
      <c r="AR270" s="1006"/>
      <c r="AS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c r="AA271" s="1006"/>
      <c r="AB271" s="1006"/>
      <c r="AC271" s="1006"/>
      <c r="AD271" s="1006"/>
      <c r="AE271" s="1006"/>
      <c r="AF271" s="1006"/>
      <c r="AG271" s="1006"/>
      <c r="AH271" s="1006"/>
      <c r="AI271" s="1006"/>
      <c r="AJ271" s="1006"/>
      <c r="AK271" s="1006"/>
      <c r="AL271" s="1006"/>
      <c r="AM271" s="1006"/>
      <c r="AN271" s="1006"/>
      <c r="AO271" s="1006"/>
      <c r="AP271" s="1006"/>
      <c r="AQ271" s="1006"/>
      <c r="AR271" s="1006"/>
      <c r="AS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c r="AA272" s="1006"/>
      <c r="AB272" s="1006"/>
      <c r="AC272" s="1006"/>
      <c r="AD272" s="1006"/>
      <c r="AE272" s="1006"/>
      <c r="AF272" s="1006"/>
      <c r="AG272" s="1006"/>
      <c r="AH272" s="1006"/>
      <c r="AI272" s="1006"/>
      <c r="AJ272" s="1006"/>
      <c r="AK272" s="1006"/>
      <c r="AL272" s="1006"/>
      <c r="AM272" s="1006"/>
      <c r="AN272" s="1006"/>
      <c r="AO272" s="1006"/>
      <c r="AP272" s="1006"/>
      <c r="AQ272" s="1006"/>
      <c r="AR272" s="1006"/>
      <c r="AS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c r="AA273" s="1006"/>
      <c r="AB273" s="1006"/>
      <c r="AC273" s="1006"/>
      <c r="AD273" s="1006"/>
      <c r="AE273" s="1006"/>
      <c r="AF273" s="1006"/>
      <c r="AG273" s="1006"/>
      <c r="AH273" s="1006"/>
      <c r="AI273" s="1006"/>
      <c r="AJ273" s="1006"/>
      <c r="AK273" s="1006"/>
      <c r="AL273" s="1006"/>
      <c r="AM273" s="1006"/>
      <c r="AN273" s="1006"/>
      <c r="AO273" s="1006"/>
      <c r="AP273" s="1006"/>
      <c r="AQ273" s="1006"/>
      <c r="AR273" s="1006"/>
      <c r="AS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c r="AA274" s="1006"/>
      <c r="AB274" s="1006"/>
      <c r="AC274" s="1006"/>
      <c r="AD274" s="1006"/>
      <c r="AE274" s="1006"/>
      <c r="AF274" s="1006"/>
      <c r="AG274" s="1006"/>
      <c r="AH274" s="1006"/>
      <c r="AI274" s="1006"/>
      <c r="AJ274" s="1006"/>
      <c r="AK274" s="1006"/>
      <c r="AL274" s="1006"/>
      <c r="AM274" s="1006"/>
      <c r="AN274" s="1006"/>
      <c r="AO274" s="1006"/>
      <c r="AP274" s="1006"/>
      <c r="AQ274" s="1006"/>
      <c r="AR274" s="1006"/>
      <c r="AS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c r="AA275" s="1006"/>
      <c r="AB275" s="1006"/>
      <c r="AC275" s="1006"/>
      <c r="AD275" s="1006"/>
      <c r="AE275" s="1006"/>
      <c r="AF275" s="1006"/>
      <c r="AG275" s="1006"/>
      <c r="AH275" s="1006"/>
      <c r="AI275" s="1006"/>
      <c r="AJ275" s="1006"/>
      <c r="AK275" s="1006"/>
      <c r="AL275" s="1006"/>
      <c r="AM275" s="1006"/>
      <c r="AN275" s="1006"/>
      <c r="AO275" s="1006"/>
      <c r="AP275" s="1006"/>
      <c r="AQ275" s="1006"/>
      <c r="AR275" s="1006"/>
      <c r="AS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c r="AA276" s="1006"/>
      <c r="AB276" s="1006"/>
      <c r="AC276" s="1006"/>
      <c r="AD276" s="1006"/>
      <c r="AE276" s="1006"/>
      <c r="AF276" s="1006"/>
      <c r="AG276" s="1006"/>
      <c r="AH276" s="1006"/>
      <c r="AI276" s="1006"/>
      <c r="AJ276" s="1006"/>
      <c r="AK276" s="1006"/>
      <c r="AL276" s="1006"/>
      <c r="AM276" s="1006"/>
      <c r="AN276" s="1006"/>
      <c r="AO276" s="1006"/>
      <c r="AP276" s="1006"/>
      <c r="AQ276" s="1006"/>
      <c r="AR276" s="1006"/>
      <c r="AS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c r="AA277" s="1006"/>
      <c r="AB277" s="1006"/>
      <c r="AC277" s="1006"/>
      <c r="AD277" s="1006"/>
      <c r="AE277" s="1006"/>
      <c r="AF277" s="1006"/>
      <c r="AG277" s="1006"/>
      <c r="AH277" s="1006"/>
      <c r="AI277" s="1006"/>
      <c r="AJ277" s="1006"/>
      <c r="AK277" s="1006"/>
      <c r="AL277" s="1006"/>
      <c r="AM277" s="1006"/>
      <c r="AN277" s="1006"/>
      <c r="AO277" s="1006"/>
      <c r="AP277" s="1006"/>
      <c r="AQ277" s="1006"/>
      <c r="AR277" s="1006"/>
      <c r="AS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c r="AA278" s="1006"/>
      <c r="AB278" s="1006"/>
      <c r="AC278" s="1006"/>
      <c r="AD278" s="1006"/>
      <c r="AE278" s="1006"/>
      <c r="AF278" s="1006"/>
      <c r="AG278" s="1006"/>
      <c r="AH278" s="1006"/>
      <c r="AI278" s="1006"/>
      <c r="AJ278" s="1006"/>
      <c r="AK278" s="1006"/>
      <c r="AL278" s="1006"/>
      <c r="AM278" s="1006"/>
      <c r="AN278" s="1006"/>
      <c r="AO278" s="1006"/>
      <c r="AP278" s="1006"/>
      <c r="AQ278" s="1006"/>
      <c r="AR278" s="1006"/>
      <c r="AS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c r="AA279" s="1006"/>
      <c r="AB279" s="1006"/>
      <c r="AC279" s="1006"/>
      <c r="AD279" s="1006"/>
      <c r="AE279" s="1006"/>
      <c r="AF279" s="1006"/>
      <c r="AG279" s="1006"/>
      <c r="AH279" s="1006"/>
      <c r="AI279" s="1006"/>
      <c r="AJ279" s="1006"/>
      <c r="AK279" s="1006"/>
      <c r="AL279" s="1006"/>
      <c r="AM279" s="1006"/>
      <c r="AN279" s="1006"/>
      <c r="AO279" s="1006"/>
      <c r="AP279" s="1006"/>
      <c r="AQ279" s="1006"/>
      <c r="AR279" s="1006"/>
      <c r="AS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c r="AA280" s="1006"/>
      <c r="AB280" s="1006"/>
      <c r="AC280" s="1006"/>
      <c r="AD280" s="1006"/>
      <c r="AE280" s="1006"/>
      <c r="AF280" s="1006"/>
      <c r="AG280" s="1006"/>
      <c r="AH280" s="1006"/>
      <c r="AI280" s="1006"/>
      <c r="AJ280" s="1006"/>
      <c r="AK280" s="1006"/>
      <c r="AL280" s="1006"/>
      <c r="AM280" s="1006"/>
      <c r="AN280" s="1006"/>
      <c r="AO280" s="1006"/>
      <c r="AP280" s="1006"/>
      <c r="AQ280" s="1006"/>
      <c r="AR280" s="1006"/>
      <c r="AS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c r="AA281" s="1006"/>
      <c r="AB281" s="1006"/>
      <c r="AC281" s="1006"/>
      <c r="AD281" s="1006"/>
      <c r="AE281" s="1006"/>
      <c r="AF281" s="1006"/>
      <c r="AG281" s="1006"/>
      <c r="AH281" s="1006"/>
      <c r="AI281" s="1006"/>
      <c r="AJ281" s="1006"/>
      <c r="AK281" s="1006"/>
      <c r="AL281" s="1006"/>
      <c r="AM281" s="1006"/>
      <c r="AN281" s="1006"/>
      <c r="AO281" s="1006"/>
      <c r="AP281" s="1006"/>
      <c r="AQ281" s="1006"/>
      <c r="AR281" s="1006"/>
      <c r="AS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c r="AA282" s="1006"/>
      <c r="AB282" s="1006"/>
      <c r="AC282" s="1006"/>
      <c r="AD282" s="1006"/>
      <c r="AE282" s="1006"/>
      <c r="AF282" s="1006"/>
      <c r="AG282" s="1006"/>
      <c r="AH282" s="1006"/>
      <c r="AI282" s="1006"/>
      <c r="AJ282" s="1006"/>
      <c r="AK282" s="1006"/>
      <c r="AL282" s="1006"/>
      <c r="AM282" s="1006"/>
      <c r="AN282" s="1006"/>
      <c r="AO282" s="1006"/>
      <c r="AP282" s="1006"/>
      <c r="AQ282" s="1006"/>
      <c r="AR282" s="1006"/>
      <c r="AS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c r="AA283" s="1006"/>
      <c r="AB283" s="1006"/>
      <c r="AC283" s="1006"/>
      <c r="AD283" s="1006"/>
      <c r="AE283" s="1006"/>
      <c r="AF283" s="1006"/>
      <c r="AG283" s="1006"/>
      <c r="AH283" s="1006"/>
      <c r="AI283" s="1006"/>
      <c r="AJ283" s="1006"/>
      <c r="AK283" s="1006"/>
      <c r="AL283" s="1006"/>
      <c r="AM283" s="1006"/>
      <c r="AN283" s="1006"/>
      <c r="AO283" s="1006"/>
      <c r="AP283" s="1006"/>
      <c r="AQ283" s="1006"/>
      <c r="AR283" s="1006"/>
      <c r="AS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c r="AA284" s="1006"/>
      <c r="AB284" s="1006"/>
      <c r="AC284" s="1006"/>
      <c r="AD284" s="1006"/>
      <c r="AE284" s="1006"/>
      <c r="AF284" s="1006"/>
      <c r="AG284" s="1006"/>
      <c r="AH284" s="1006"/>
      <c r="AI284" s="1006"/>
      <c r="AJ284" s="1006"/>
      <c r="AK284" s="1006"/>
      <c r="AL284" s="1006"/>
      <c r="AM284" s="1006"/>
      <c r="AN284" s="1006"/>
      <c r="AO284" s="1006"/>
      <c r="AP284" s="1006"/>
      <c r="AQ284" s="1006"/>
      <c r="AR284" s="1006"/>
      <c r="AS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c r="AA285" s="1006"/>
      <c r="AB285" s="1006"/>
      <c r="AC285" s="1006"/>
      <c r="AD285" s="1006"/>
      <c r="AE285" s="1006"/>
      <c r="AF285" s="1006"/>
      <c r="AG285" s="1006"/>
      <c r="AH285" s="1006"/>
      <c r="AI285" s="1006"/>
      <c r="AJ285" s="1006"/>
      <c r="AK285" s="1006"/>
      <c r="AL285" s="1006"/>
      <c r="AM285" s="1006"/>
      <c r="AN285" s="1006"/>
      <c r="AO285" s="1006"/>
      <c r="AP285" s="1006"/>
      <c r="AQ285" s="1006"/>
      <c r="AR285" s="1006"/>
      <c r="AS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c r="AA286" s="1006"/>
      <c r="AB286" s="1006"/>
      <c r="AC286" s="1006"/>
      <c r="AD286" s="1006"/>
      <c r="AE286" s="1006"/>
      <c r="AF286" s="1006"/>
      <c r="AG286" s="1006"/>
      <c r="AH286" s="1006"/>
      <c r="AI286" s="1006"/>
      <c r="AJ286" s="1006"/>
      <c r="AK286" s="1006"/>
      <c r="AL286" s="1006"/>
      <c r="AM286" s="1006"/>
      <c r="AN286" s="1006"/>
      <c r="AO286" s="1006"/>
      <c r="AP286" s="1006"/>
      <c r="AQ286" s="1006"/>
      <c r="AR286" s="1006"/>
      <c r="AS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c r="AA287" s="1006"/>
      <c r="AB287" s="1006"/>
      <c r="AC287" s="1006"/>
      <c r="AD287" s="1006"/>
      <c r="AE287" s="1006"/>
      <c r="AF287" s="1006"/>
      <c r="AG287" s="1006"/>
      <c r="AH287" s="1006"/>
      <c r="AI287" s="1006"/>
      <c r="AJ287" s="1006"/>
      <c r="AK287" s="1006"/>
      <c r="AL287" s="1006"/>
      <c r="AM287" s="1006"/>
      <c r="AN287" s="1006"/>
      <c r="AO287" s="1006"/>
      <c r="AP287" s="1006"/>
      <c r="AQ287" s="1006"/>
      <c r="AR287" s="1006"/>
      <c r="AS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c r="AA288" s="1006"/>
      <c r="AB288" s="1006"/>
      <c r="AC288" s="1006"/>
      <c r="AD288" s="1006"/>
      <c r="AE288" s="1006"/>
      <c r="AF288" s="1006"/>
      <c r="AG288" s="1006"/>
      <c r="AH288" s="1006"/>
      <c r="AI288" s="1006"/>
      <c r="AJ288" s="1006"/>
      <c r="AK288" s="1006"/>
      <c r="AL288" s="1006"/>
      <c r="AM288" s="1006"/>
      <c r="AN288" s="1006"/>
      <c r="AO288" s="1006"/>
      <c r="AP288" s="1006"/>
      <c r="AQ288" s="1006"/>
      <c r="AR288" s="1006"/>
      <c r="AS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c r="AA289" s="1006"/>
      <c r="AB289" s="1006"/>
      <c r="AC289" s="1006"/>
      <c r="AD289" s="1006"/>
      <c r="AE289" s="1006"/>
      <c r="AF289" s="1006"/>
      <c r="AG289" s="1006"/>
      <c r="AH289" s="1006"/>
      <c r="AI289" s="1006"/>
      <c r="AJ289" s="1006"/>
      <c r="AK289" s="1006"/>
      <c r="AL289" s="1006"/>
      <c r="AM289" s="1006"/>
      <c r="AN289" s="1006"/>
      <c r="AO289" s="1006"/>
      <c r="AP289" s="1006"/>
      <c r="AQ289" s="1006"/>
      <c r="AR289" s="1006"/>
      <c r="AS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c r="AA290" s="1006"/>
      <c r="AB290" s="1006"/>
      <c r="AC290" s="1006"/>
      <c r="AD290" s="1006"/>
      <c r="AE290" s="1006"/>
      <c r="AF290" s="1006"/>
      <c r="AG290" s="1006"/>
      <c r="AH290" s="1006"/>
      <c r="AI290" s="1006"/>
      <c r="AJ290" s="1006"/>
      <c r="AK290" s="1006"/>
      <c r="AL290" s="1006"/>
      <c r="AM290" s="1006"/>
      <c r="AN290" s="1006"/>
      <c r="AO290" s="1006"/>
      <c r="AP290" s="1006"/>
      <c r="AQ290" s="1006"/>
      <c r="AR290" s="1006"/>
      <c r="AS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c r="AA291" s="1006"/>
      <c r="AB291" s="1006"/>
      <c r="AC291" s="1006"/>
      <c r="AD291" s="1006"/>
      <c r="AE291" s="1006"/>
      <c r="AF291" s="1006"/>
      <c r="AG291" s="1006"/>
      <c r="AH291" s="1006"/>
      <c r="AI291" s="1006"/>
      <c r="AJ291" s="1006"/>
      <c r="AK291" s="1006"/>
      <c r="AL291" s="1006"/>
      <c r="AM291" s="1006"/>
      <c r="AN291" s="1006"/>
      <c r="AO291" s="1006"/>
      <c r="AP291" s="1006"/>
      <c r="AQ291" s="1006"/>
      <c r="AR291" s="1006"/>
      <c r="AS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c r="AA292" s="1006"/>
      <c r="AB292" s="1006"/>
      <c r="AC292" s="1006"/>
      <c r="AD292" s="1006"/>
      <c r="AE292" s="1006"/>
      <c r="AF292" s="1006"/>
      <c r="AG292" s="1006"/>
      <c r="AH292" s="1006"/>
      <c r="AI292" s="1006"/>
      <c r="AJ292" s="1006"/>
      <c r="AK292" s="1006"/>
      <c r="AL292" s="1006"/>
      <c r="AM292" s="1006"/>
      <c r="AN292" s="1006"/>
      <c r="AO292" s="1006"/>
      <c r="AP292" s="1006"/>
      <c r="AQ292" s="1006"/>
      <c r="AR292" s="1006"/>
      <c r="AS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c r="AA293" s="1006"/>
      <c r="AB293" s="1006"/>
      <c r="AC293" s="1006"/>
      <c r="AD293" s="1006"/>
      <c r="AE293" s="1006"/>
      <c r="AF293" s="1006"/>
      <c r="AG293" s="1006"/>
      <c r="AH293" s="1006"/>
      <c r="AI293" s="1006"/>
      <c r="AJ293" s="1006"/>
      <c r="AK293" s="1006"/>
      <c r="AL293" s="1006"/>
      <c r="AM293" s="1006"/>
      <c r="AN293" s="1006"/>
      <c r="AO293" s="1006"/>
      <c r="AP293" s="1006"/>
      <c r="AQ293" s="1006"/>
      <c r="AR293" s="1006"/>
      <c r="AS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c r="AA294" s="1006"/>
      <c r="AB294" s="1006"/>
      <c r="AC294" s="1006"/>
      <c r="AD294" s="1006"/>
      <c r="AE294" s="1006"/>
      <c r="AF294" s="1006"/>
      <c r="AG294" s="1006"/>
      <c r="AH294" s="1006"/>
      <c r="AI294" s="1006"/>
      <c r="AJ294" s="1006"/>
      <c r="AK294" s="1006"/>
      <c r="AL294" s="1006"/>
      <c r="AM294" s="1006"/>
      <c r="AN294" s="1006"/>
      <c r="AO294" s="1006"/>
      <c r="AP294" s="1006"/>
      <c r="AQ294" s="1006"/>
      <c r="AR294" s="1006"/>
      <c r="AS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c r="AA295" s="1006"/>
      <c r="AB295" s="1006"/>
      <c r="AC295" s="1006"/>
      <c r="AD295" s="1006"/>
      <c r="AE295" s="1006"/>
      <c r="AF295" s="1006"/>
      <c r="AG295" s="1006"/>
      <c r="AH295" s="1006"/>
      <c r="AI295" s="1006"/>
      <c r="AJ295" s="1006"/>
      <c r="AK295" s="1006"/>
      <c r="AL295" s="1006"/>
      <c r="AM295" s="1006"/>
      <c r="AN295" s="1006"/>
      <c r="AO295" s="1006"/>
      <c r="AP295" s="1006"/>
      <c r="AQ295" s="1006"/>
      <c r="AR295" s="1006"/>
      <c r="AS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c r="AA296" s="1006"/>
      <c r="AB296" s="1006"/>
      <c r="AC296" s="1006"/>
      <c r="AD296" s="1006"/>
      <c r="AE296" s="1006"/>
      <c r="AF296" s="1006"/>
      <c r="AG296" s="1006"/>
      <c r="AH296" s="1006"/>
      <c r="AI296" s="1006"/>
      <c r="AJ296" s="1006"/>
      <c r="AK296" s="1006"/>
      <c r="AL296" s="1006"/>
      <c r="AM296" s="1006"/>
      <c r="AN296" s="1006"/>
      <c r="AO296" s="1006"/>
      <c r="AP296" s="1006"/>
      <c r="AQ296" s="1006"/>
      <c r="AR296" s="1006"/>
      <c r="AS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c r="AA297" s="1006"/>
      <c r="AB297" s="1006"/>
      <c r="AC297" s="1006"/>
      <c r="AD297" s="1006"/>
      <c r="AE297" s="1006"/>
      <c r="AF297" s="1006"/>
      <c r="AG297" s="1006"/>
      <c r="AH297" s="1006"/>
      <c r="AI297" s="1006"/>
      <c r="AJ297" s="1006"/>
      <c r="AK297" s="1006"/>
      <c r="AL297" s="1006"/>
      <c r="AM297" s="1006"/>
      <c r="AN297" s="1006"/>
      <c r="AO297" s="1006"/>
      <c r="AP297" s="1006"/>
      <c r="AQ297" s="1006"/>
      <c r="AR297" s="1006"/>
      <c r="AS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c r="AA298" s="1006"/>
      <c r="AB298" s="1006"/>
      <c r="AC298" s="1006"/>
      <c r="AD298" s="1006"/>
      <c r="AE298" s="1006"/>
      <c r="AF298" s="1006"/>
      <c r="AG298" s="1006"/>
      <c r="AH298" s="1006"/>
      <c r="AI298" s="1006"/>
      <c r="AJ298" s="1006"/>
      <c r="AK298" s="1006"/>
      <c r="AL298" s="1006"/>
      <c r="AM298" s="1006"/>
      <c r="AN298" s="1006"/>
      <c r="AO298" s="1006"/>
      <c r="AP298" s="1006"/>
      <c r="AQ298" s="1006"/>
      <c r="AR298" s="1006"/>
      <c r="AS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c r="AA299" s="1006"/>
      <c r="AB299" s="1006"/>
      <c r="AC299" s="1006"/>
      <c r="AD299" s="1006"/>
      <c r="AE299" s="1006"/>
      <c r="AF299" s="1006"/>
      <c r="AG299" s="1006"/>
      <c r="AH299" s="1006"/>
      <c r="AI299" s="1006"/>
      <c r="AJ299" s="1006"/>
      <c r="AK299" s="1006"/>
      <c r="AL299" s="1006"/>
      <c r="AM299" s="1006"/>
      <c r="AN299" s="1006"/>
      <c r="AO299" s="1006"/>
      <c r="AP299" s="1006"/>
      <c r="AQ299" s="1006"/>
      <c r="AR299" s="1006"/>
      <c r="AS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c r="AA300" s="1006"/>
      <c r="AB300" s="1006"/>
      <c r="AC300" s="1006"/>
      <c r="AD300" s="1006"/>
      <c r="AE300" s="1006"/>
      <c r="AF300" s="1006"/>
      <c r="AG300" s="1006"/>
      <c r="AH300" s="1006"/>
      <c r="AI300" s="1006"/>
      <c r="AJ300" s="1006"/>
      <c r="AK300" s="1006"/>
      <c r="AL300" s="1006"/>
      <c r="AM300" s="1006"/>
      <c r="AN300" s="1006"/>
      <c r="AO300" s="1006"/>
      <c r="AP300" s="1006"/>
      <c r="AQ300" s="1006"/>
      <c r="AR300" s="1006"/>
      <c r="AS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c r="AA301" s="1006"/>
      <c r="AB301" s="1006"/>
      <c r="AC301" s="1006"/>
      <c r="AD301" s="1006"/>
      <c r="AE301" s="1006"/>
      <c r="AF301" s="1006"/>
      <c r="AG301" s="1006"/>
      <c r="AH301" s="1006"/>
      <c r="AI301" s="1006"/>
      <c r="AJ301" s="1006"/>
      <c r="AK301" s="1006"/>
      <c r="AL301" s="1006"/>
      <c r="AM301" s="1006"/>
      <c r="AN301" s="1006"/>
      <c r="AO301" s="1006"/>
      <c r="AP301" s="1006"/>
      <c r="AQ301" s="1006"/>
      <c r="AR301" s="1006"/>
      <c r="AS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c r="AA302" s="1006"/>
      <c r="AB302" s="1006"/>
      <c r="AC302" s="1006"/>
      <c r="AD302" s="1006"/>
      <c r="AE302" s="1006"/>
      <c r="AF302" s="1006"/>
      <c r="AG302" s="1006"/>
      <c r="AH302" s="1006"/>
      <c r="AI302" s="1006"/>
      <c r="AJ302" s="1006"/>
      <c r="AK302" s="1006"/>
      <c r="AL302" s="1006"/>
      <c r="AM302" s="1006"/>
      <c r="AN302" s="1006"/>
      <c r="AO302" s="1006"/>
      <c r="AP302" s="1006"/>
      <c r="AQ302" s="1006"/>
      <c r="AR302" s="1006"/>
      <c r="AS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c r="AA303" s="1006"/>
      <c r="AB303" s="1006"/>
      <c r="AC303" s="1006"/>
      <c r="AD303" s="1006"/>
      <c r="AE303" s="1006"/>
      <c r="AF303" s="1006"/>
      <c r="AG303" s="1006"/>
      <c r="AH303" s="1006"/>
      <c r="AI303" s="1006"/>
      <c r="AJ303" s="1006"/>
      <c r="AK303" s="1006"/>
      <c r="AL303" s="1006"/>
      <c r="AM303" s="1006"/>
      <c r="AN303" s="1006"/>
      <c r="AO303" s="1006"/>
      <c r="AP303" s="1006"/>
      <c r="AQ303" s="1006"/>
      <c r="AR303" s="1006"/>
      <c r="AS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c r="AA304" s="1006"/>
      <c r="AB304" s="1006"/>
      <c r="AC304" s="1006"/>
      <c r="AD304" s="1006"/>
      <c r="AE304" s="1006"/>
      <c r="AF304" s="1006"/>
      <c r="AG304" s="1006"/>
      <c r="AH304" s="1006"/>
      <c r="AI304" s="1006"/>
      <c r="AJ304" s="1006"/>
      <c r="AK304" s="1006"/>
      <c r="AL304" s="1006"/>
      <c r="AM304" s="1006"/>
      <c r="AN304" s="1006"/>
      <c r="AO304" s="1006"/>
      <c r="AP304" s="1006"/>
      <c r="AQ304" s="1006"/>
      <c r="AR304" s="1006"/>
      <c r="AS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c r="AA305" s="1006"/>
      <c r="AB305" s="1006"/>
      <c r="AC305" s="1006"/>
      <c r="AD305" s="1006"/>
      <c r="AE305" s="1006"/>
      <c r="AF305" s="1006"/>
      <c r="AG305" s="1006"/>
      <c r="AH305" s="1006"/>
      <c r="AI305" s="1006"/>
      <c r="AJ305" s="1006"/>
      <c r="AK305" s="1006"/>
      <c r="AL305" s="1006"/>
      <c r="AM305" s="1006"/>
      <c r="AN305" s="1006"/>
      <c r="AO305" s="1006"/>
      <c r="AP305" s="1006"/>
      <c r="AQ305" s="1006"/>
      <c r="AR305" s="1006"/>
      <c r="AS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c r="AA306" s="1006"/>
      <c r="AB306" s="1006"/>
      <c r="AC306" s="1006"/>
      <c r="AD306" s="1006"/>
      <c r="AE306" s="1006"/>
      <c r="AF306" s="1006"/>
      <c r="AG306" s="1006"/>
      <c r="AH306" s="1006"/>
      <c r="AI306" s="1006"/>
      <c r="AJ306" s="1006"/>
      <c r="AK306" s="1006"/>
      <c r="AL306" s="1006"/>
      <c r="AM306" s="1006"/>
      <c r="AN306" s="1006"/>
      <c r="AO306" s="1006"/>
      <c r="AP306" s="1006"/>
      <c r="AQ306" s="1006"/>
      <c r="AR306" s="1006"/>
      <c r="AS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c r="AA307" s="1006"/>
      <c r="AB307" s="1006"/>
      <c r="AC307" s="1006"/>
      <c r="AD307" s="1006"/>
      <c r="AE307" s="1006"/>
      <c r="AF307" s="1006"/>
      <c r="AG307" s="1006"/>
      <c r="AH307" s="1006"/>
      <c r="AI307" s="1006"/>
      <c r="AJ307" s="1006"/>
      <c r="AK307" s="1006"/>
      <c r="AL307" s="1006"/>
      <c r="AM307" s="1006"/>
      <c r="AN307" s="1006"/>
      <c r="AO307" s="1006"/>
      <c r="AP307" s="1006"/>
      <c r="AQ307" s="1006"/>
      <c r="AR307" s="1006"/>
      <c r="AS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c r="AA308" s="1006"/>
      <c r="AB308" s="1006"/>
      <c r="AC308" s="1006"/>
      <c r="AD308" s="1006"/>
      <c r="AE308" s="1006"/>
      <c r="AF308" s="1006"/>
      <c r="AG308" s="1006"/>
      <c r="AH308" s="1006"/>
      <c r="AI308" s="1006"/>
      <c r="AJ308" s="1006"/>
      <c r="AK308" s="1006"/>
      <c r="AL308" s="1006"/>
      <c r="AM308" s="1006"/>
      <c r="AN308" s="1006"/>
      <c r="AO308" s="1006"/>
      <c r="AP308" s="1006"/>
      <c r="AQ308" s="1006"/>
      <c r="AR308" s="1006"/>
      <c r="AS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c r="AA309" s="1006"/>
      <c r="AB309" s="1006"/>
      <c r="AC309" s="1006"/>
      <c r="AD309" s="1006"/>
      <c r="AE309" s="1006"/>
      <c r="AF309" s="1006"/>
      <c r="AG309" s="1006"/>
      <c r="AH309" s="1006"/>
      <c r="AI309" s="1006"/>
      <c r="AJ309" s="1006"/>
      <c r="AK309" s="1006"/>
      <c r="AL309" s="1006"/>
      <c r="AM309" s="1006"/>
      <c r="AN309" s="1006"/>
      <c r="AO309" s="1006"/>
      <c r="AP309" s="1006"/>
      <c r="AQ309" s="1006"/>
      <c r="AR309" s="1006"/>
      <c r="AS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c r="AA310" s="1006"/>
      <c r="AB310" s="1006"/>
      <c r="AC310" s="1006"/>
      <c r="AD310" s="1006"/>
      <c r="AE310" s="1006"/>
      <c r="AF310" s="1006"/>
      <c r="AG310" s="1006"/>
      <c r="AH310" s="1006"/>
      <c r="AI310" s="1006"/>
      <c r="AJ310" s="1006"/>
      <c r="AK310" s="1006"/>
      <c r="AL310" s="1006"/>
      <c r="AM310" s="1006"/>
      <c r="AN310" s="1006"/>
      <c r="AO310" s="1006"/>
      <c r="AP310" s="1006"/>
      <c r="AQ310" s="1006"/>
      <c r="AR310" s="1006"/>
      <c r="AS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c r="AA311" s="1006"/>
      <c r="AB311" s="1006"/>
      <c r="AC311" s="1006"/>
      <c r="AD311" s="1006"/>
      <c r="AE311" s="1006"/>
      <c r="AF311" s="1006"/>
      <c r="AG311" s="1006"/>
      <c r="AH311" s="1006"/>
      <c r="AI311" s="1006"/>
      <c r="AJ311" s="1006"/>
      <c r="AK311" s="1006"/>
      <c r="AL311" s="1006"/>
      <c r="AM311" s="1006"/>
      <c r="AN311" s="1006"/>
      <c r="AO311" s="1006"/>
      <c r="AP311" s="1006"/>
      <c r="AQ311" s="1006"/>
      <c r="AR311" s="1006"/>
      <c r="AS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c r="AA312" s="1006"/>
      <c r="AB312" s="1006"/>
      <c r="AC312" s="1006"/>
      <c r="AD312" s="1006"/>
      <c r="AE312" s="1006"/>
      <c r="AF312" s="1006"/>
      <c r="AG312" s="1006"/>
      <c r="AH312" s="1006"/>
      <c r="AI312" s="1006"/>
      <c r="AJ312" s="1006"/>
      <c r="AK312" s="1006"/>
      <c r="AL312" s="1006"/>
      <c r="AM312" s="1006"/>
      <c r="AN312" s="1006"/>
      <c r="AO312" s="1006"/>
      <c r="AP312" s="1006"/>
      <c r="AQ312" s="1006"/>
      <c r="AR312" s="1006"/>
      <c r="AS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c r="AA313" s="1006"/>
      <c r="AB313" s="1006"/>
      <c r="AC313" s="1006"/>
      <c r="AD313" s="1006"/>
      <c r="AE313" s="1006"/>
      <c r="AF313" s="1006"/>
      <c r="AG313" s="1006"/>
      <c r="AH313" s="1006"/>
      <c r="AI313" s="1006"/>
      <c r="AJ313" s="1006"/>
      <c r="AK313" s="1006"/>
      <c r="AL313" s="1006"/>
      <c r="AM313" s="1006"/>
      <c r="AN313" s="1006"/>
      <c r="AO313" s="1006"/>
      <c r="AP313" s="1006"/>
      <c r="AQ313" s="1006"/>
      <c r="AR313" s="1006"/>
      <c r="AS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c r="AA314" s="1006"/>
      <c r="AB314" s="1006"/>
      <c r="AC314" s="1006"/>
      <c r="AD314" s="1006"/>
      <c r="AE314" s="1006"/>
      <c r="AF314" s="1006"/>
      <c r="AG314" s="1006"/>
      <c r="AH314" s="1006"/>
      <c r="AI314" s="1006"/>
      <c r="AJ314" s="1006"/>
      <c r="AK314" s="1006"/>
      <c r="AL314" s="1006"/>
      <c r="AM314" s="1006"/>
      <c r="AN314" s="1006"/>
      <c r="AO314" s="1006"/>
      <c r="AP314" s="1006"/>
      <c r="AQ314" s="1006"/>
      <c r="AR314" s="1006"/>
      <c r="AS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c r="AA315" s="1006"/>
      <c r="AB315" s="1006"/>
      <c r="AC315" s="1006"/>
      <c r="AD315" s="1006"/>
      <c r="AE315" s="1006"/>
      <c r="AF315" s="1006"/>
      <c r="AG315" s="1006"/>
      <c r="AH315" s="1006"/>
      <c r="AI315" s="1006"/>
      <c r="AJ315" s="1006"/>
      <c r="AK315" s="1006"/>
      <c r="AL315" s="1006"/>
      <c r="AM315" s="1006"/>
      <c r="AN315" s="1006"/>
      <c r="AO315" s="1006"/>
      <c r="AP315" s="1006"/>
      <c r="AQ315" s="1006"/>
      <c r="AR315" s="1006"/>
      <c r="AS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c r="AA316" s="1006"/>
      <c r="AB316" s="1006"/>
      <c r="AC316" s="1006"/>
      <c r="AD316" s="1006"/>
      <c r="AE316" s="1006"/>
      <c r="AF316" s="1006"/>
      <c r="AG316" s="1006"/>
      <c r="AH316" s="1006"/>
      <c r="AI316" s="1006"/>
      <c r="AJ316" s="1006"/>
      <c r="AK316" s="1006"/>
      <c r="AL316" s="1006"/>
      <c r="AM316" s="1006"/>
      <c r="AN316" s="1006"/>
      <c r="AO316" s="1006"/>
      <c r="AP316" s="1006"/>
      <c r="AQ316" s="1006"/>
      <c r="AR316" s="1006"/>
      <c r="AS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c r="AA317" s="1006"/>
      <c r="AB317" s="1006"/>
      <c r="AC317" s="1006"/>
      <c r="AD317" s="1006"/>
      <c r="AE317" s="1006"/>
      <c r="AF317" s="1006"/>
      <c r="AG317" s="1006"/>
      <c r="AH317" s="1006"/>
      <c r="AI317" s="1006"/>
      <c r="AJ317" s="1006"/>
      <c r="AK317" s="1006"/>
      <c r="AL317" s="1006"/>
      <c r="AM317" s="1006"/>
      <c r="AN317" s="1006"/>
      <c r="AO317" s="1006"/>
      <c r="AP317" s="1006"/>
      <c r="AQ317" s="1006"/>
      <c r="AR317" s="1006"/>
      <c r="AS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c r="AA318" s="1006"/>
      <c r="AB318" s="1006"/>
      <c r="AC318" s="1006"/>
      <c r="AD318" s="1006"/>
      <c r="AE318" s="1006"/>
      <c r="AF318" s="1006"/>
      <c r="AG318" s="1006"/>
      <c r="AH318" s="1006"/>
      <c r="AI318" s="1006"/>
      <c r="AJ318" s="1006"/>
      <c r="AK318" s="1006"/>
      <c r="AL318" s="1006"/>
      <c r="AM318" s="1006"/>
      <c r="AN318" s="1006"/>
      <c r="AO318" s="1006"/>
      <c r="AP318" s="1006"/>
      <c r="AQ318" s="1006"/>
      <c r="AR318" s="1006"/>
      <c r="AS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c r="AA319" s="1006"/>
      <c r="AB319" s="1006"/>
      <c r="AC319" s="1006"/>
      <c r="AD319" s="1006"/>
      <c r="AE319" s="1006"/>
      <c r="AF319" s="1006"/>
      <c r="AG319" s="1006"/>
      <c r="AH319" s="1006"/>
      <c r="AI319" s="1006"/>
      <c r="AJ319" s="1006"/>
      <c r="AK319" s="1006"/>
      <c r="AL319" s="1006"/>
      <c r="AM319" s="1006"/>
      <c r="AN319" s="1006"/>
      <c r="AO319" s="1006"/>
      <c r="AP319" s="1006"/>
      <c r="AQ319" s="1006"/>
      <c r="AR319" s="1006"/>
      <c r="AS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c r="AA320" s="1006"/>
      <c r="AB320" s="1006"/>
      <c r="AC320" s="1006"/>
      <c r="AD320" s="1006"/>
      <c r="AE320" s="1006"/>
      <c r="AF320" s="1006"/>
      <c r="AG320" s="1006"/>
      <c r="AH320" s="1006"/>
      <c r="AI320" s="1006"/>
      <c r="AJ320" s="1006"/>
      <c r="AK320" s="1006"/>
      <c r="AL320" s="1006"/>
      <c r="AM320" s="1006"/>
      <c r="AN320" s="1006"/>
      <c r="AO320" s="1006"/>
      <c r="AP320" s="1006"/>
      <c r="AQ320" s="1006"/>
      <c r="AR320" s="1006"/>
      <c r="AS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c r="AA321" s="1006"/>
      <c r="AB321" s="1006"/>
      <c r="AC321" s="1006"/>
      <c r="AD321" s="1006"/>
      <c r="AE321" s="1006"/>
      <c r="AF321" s="1006"/>
      <c r="AG321" s="1006"/>
      <c r="AH321" s="1006"/>
      <c r="AI321" s="1006"/>
      <c r="AJ321" s="1006"/>
      <c r="AK321" s="1006"/>
      <c r="AL321" s="1006"/>
      <c r="AM321" s="1006"/>
      <c r="AN321" s="1006"/>
      <c r="AO321" s="1006"/>
      <c r="AP321" s="1006"/>
      <c r="AQ321" s="1006"/>
      <c r="AR321" s="1006"/>
      <c r="AS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c r="AA322" s="1006"/>
      <c r="AB322" s="1006"/>
      <c r="AC322" s="1006"/>
      <c r="AD322" s="1006"/>
      <c r="AE322" s="1006"/>
      <c r="AF322" s="1006"/>
      <c r="AG322" s="1006"/>
      <c r="AH322" s="1006"/>
      <c r="AI322" s="1006"/>
      <c r="AJ322" s="1006"/>
      <c r="AK322" s="1006"/>
      <c r="AL322" s="1006"/>
      <c r="AM322" s="1006"/>
      <c r="AN322" s="1006"/>
      <c r="AO322" s="1006"/>
      <c r="AP322" s="1006"/>
      <c r="AQ322" s="1006"/>
      <c r="AR322" s="1006"/>
      <c r="AS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c r="AA323" s="1006"/>
      <c r="AB323" s="1006"/>
      <c r="AC323" s="1006"/>
      <c r="AD323" s="1006"/>
      <c r="AE323" s="1006"/>
      <c r="AF323" s="1006"/>
      <c r="AG323" s="1006"/>
      <c r="AH323" s="1006"/>
      <c r="AI323" s="1006"/>
      <c r="AJ323" s="1006"/>
      <c r="AK323" s="1006"/>
      <c r="AL323" s="1006"/>
      <c r="AM323" s="1006"/>
      <c r="AN323" s="1006"/>
      <c r="AO323" s="1006"/>
      <c r="AP323" s="1006"/>
      <c r="AQ323" s="1006"/>
      <c r="AR323" s="1006"/>
      <c r="AS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c r="AA324" s="1006"/>
      <c r="AB324" s="1006"/>
      <c r="AC324" s="1006"/>
      <c r="AD324" s="1006"/>
      <c r="AE324" s="1006"/>
      <c r="AF324" s="1006"/>
      <c r="AG324" s="1006"/>
      <c r="AH324" s="1006"/>
      <c r="AI324" s="1006"/>
      <c r="AJ324" s="1006"/>
      <c r="AK324" s="1006"/>
      <c r="AL324" s="1006"/>
      <c r="AM324" s="1006"/>
      <c r="AN324" s="1006"/>
      <c r="AO324" s="1006"/>
      <c r="AP324" s="1006"/>
      <c r="AQ324" s="1006"/>
      <c r="AR324" s="1006"/>
      <c r="AS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c r="AA325" s="1006"/>
      <c r="AB325" s="1006"/>
      <c r="AC325" s="1006"/>
      <c r="AD325" s="1006"/>
      <c r="AE325" s="1006"/>
      <c r="AF325" s="1006"/>
      <c r="AG325" s="1006"/>
      <c r="AH325" s="1006"/>
      <c r="AI325" s="1006"/>
      <c r="AJ325" s="1006"/>
      <c r="AK325" s="1006"/>
      <c r="AL325" s="1006"/>
      <c r="AM325" s="1006"/>
      <c r="AN325" s="1006"/>
      <c r="AO325" s="1006"/>
      <c r="AP325" s="1006"/>
      <c r="AQ325" s="1006"/>
      <c r="AR325" s="1006"/>
      <c r="AS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c r="AA326" s="1006"/>
      <c r="AB326" s="1006"/>
      <c r="AC326" s="1006"/>
      <c r="AD326" s="1006"/>
      <c r="AE326" s="1006"/>
      <c r="AF326" s="1006"/>
      <c r="AG326" s="1006"/>
      <c r="AH326" s="1006"/>
      <c r="AI326" s="1006"/>
      <c r="AJ326" s="1006"/>
      <c r="AK326" s="1006"/>
      <c r="AL326" s="1006"/>
      <c r="AM326" s="1006"/>
      <c r="AN326" s="1006"/>
      <c r="AO326" s="1006"/>
      <c r="AP326" s="1006"/>
      <c r="AQ326" s="1006"/>
      <c r="AR326" s="1006"/>
      <c r="AS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c r="AA327" s="1006"/>
      <c r="AB327" s="1006"/>
      <c r="AC327" s="1006"/>
      <c r="AD327" s="1006"/>
      <c r="AE327" s="1006"/>
      <c r="AF327" s="1006"/>
      <c r="AG327" s="1006"/>
      <c r="AH327" s="1006"/>
      <c r="AI327" s="1006"/>
      <c r="AJ327" s="1006"/>
      <c r="AK327" s="1006"/>
      <c r="AL327" s="1006"/>
      <c r="AM327" s="1006"/>
      <c r="AN327" s="1006"/>
      <c r="AO327" s="1006"/>
      <c r="AP327" s="1006"/>
      <c r="AQ327" s="1006"/>
      <c r="AR327" s="1006"/>
      <c r="AS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c r="AA328" s="1006"/>
      <c r="AB328" s="1006"/>
      <c r="AC328" s="1006"/>
      <c r="AD328" s="1006"/>
      <c r="AE328" s="1006"/>
      <c r="AF328" s="1006"/>
      <c r="AG328" s="1006"/>
      <c r="AH328" s="1006"/>
      <c r="AI328" s="1006"/>
      <c r="AJ328" s="1006"/>
      <c r="AK328" s="1006"/>
      <c r="AL328" s="1006"/>
      <c r="AM328" s="1006"/>
      <c r="AN328" s="1006"/>
      <c r="AO328" s="1006"/>
      <c r="AP328" s="1006"/>
      <c r="AQ328" s="1006"/>
      <c r="AR328" s="1006"/>
      <c r="AS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c r="AA329" s="1006"/>
      <c r="AB329" s="1006"/>
      <c r="AC329" s="1006"/>
      <c r="AD329" s="1006"/>
      <c r="AE329" s="1006"/>
      <c r="AF329" s="1006"/>
      <c r="AG329" s="1006"/>
      <c r="AH329" s="1006"/>
      <c r="AI329" s="1006"/>
      <c r="AJ329" s="1006"/>
      <c r="AK329" s="1006"/>
      <c r="AL329" s="1006"/>
      <c r="AM329" s="1006"/>
      <c r="AN329" s="1006"/>
      <c r="AO329" s="1006"/>
      <c r="AP329" s="1006"/>
      <c r="AQ329" s="1006"/>
      <c r="AR329" s="1006"/>
      <c r="AS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c r="AA330" s="1006"/>
      <c r="AB330" s="1006"/>
      <c r="AC330" s="1006"/>
      <c r="AD330" s="1006"/>
      <c r="AE330" s="1006"/>
      <c r="AF330" s="1006"/>
      <c r="AG330" s="1006"/>
      <c r="AH330" s="1006"/>
      <c r="AI330" s="1006"/>
      <c r="AJ330" s="1006"/>
      <c r="AK330" s="1006"/>
      <c r="AL330" s="1006"/>
      <c r="AM330" s="1006"/>
      <c r="AN330" s="1006"/>
      <c r="AO330" s="1006"/>
      <c r="AP330" s="1006"/>
      <c r="AQ330" s="1006"/>
      <c r="AR330" s="1006"/>
      <c r="AS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c r="AA331" s="1006"/>
      <c r="AB331" s="1006"/>
      <c r="AC331" s="1006"/>
      <c r="AD331" s="1006"/>
      <c r="AE331" s="1006"/>
      <c r="AF331" s="1006"/>
      <c r="AG331" s="1006"/>
      <c r="AH331" s="1006"/>
      <c r="AI331" s="1006"/>
      <c r="AJ331" s="1006"/>
      <c r="AK331" s="1006"/>
      <c r="AL331" s="1006"/>
      <c r="AM331" s="1006"/>
      <c r="AN331" s="1006"/>
      <c r="AO331" s="1006"/>
      <c r="AP331" s="1006"/>
      <c r="AQ331" s="1006"/>
      <c r="AR331" s="1006"/>
      <c r="AS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c r="AA332" s="1006"/>
      <c r="AB332" s="1006"/>
      <c r="AC332" s="1006"/>
      <c r="AD332" s="1006"/>
      <c r="AE332" s="1006"/>
      <c r="AF332" s="1006"/>
      <c r="AG332" s="1006"/>
      <c r="AH332" s="1006"/>
      <c r="AI332" s="1006"/>
      <c r="AJ332" s="1006"/>
      <c r="AK332" s="1006"/>
      <c r="AL332" s="1006"/>
      <c r="AM332" s="1006"/>
      <c r="AN332" s="1006"/>
      <c r="AO332" s="1006"/>
      <c r="AP332" s="1006"/>
      <c r="AQ332" s="1006"/>
      <c r="AR332" s="1006"/>
      <c r="AS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c r="AA333" s="1006"/>
      <c r="AB333" s="1006"/>
      <c r="AC333" s="1006"/>
      <c r="AD333" s="1006"/>
      <c r="AE333" s="1006"/>
      <c r="AF333" s="1006"/>
      <c r="AG333" s="1006"/>
      <c r="AH333" s="1006"/>
      <c r="AI333" s="1006"/>
      <c r="AJ333" s="1006"/>
      <c r="AK333" s="1006"/>
      <c r="AL333" s="1006"/>
      <c r="AM333" s="1006"/>
      <c r="AN333" s="1006"/>
      <c r="AO333" s="1006"/>
      <c r="AP333" s="1006"/>
      <c r="AQ333" s="1006"/>
      <c r="AR333" s="1006"/>
      <c r="AS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c r="AA334" s="1006"/>
      <c r="AB334" s="1006"/>
      <c r="AC334" s="1006"/>
      <c r="AD334" s="1006"/>
      <c r="AE334" s="1006"/>
      <c r="AF334" s="1006"/>
      <c r="AG334" s="1006"/>
      <c r="AH334" s="1006"/>
      <c r="AI334" s="1006"/>
      <c r="AJ334" s="1006"/>
      <c r="AK334" s="1006"/>
      <c r="AL334" s="1006"/>
      <c r="AM334" s="1006"/>
      <c r="AN334" s="1006"/>
      <c r="AO334" s="1006"/>
      <c r="AP334" s="1006"/>
      <c r="AQ334" s="1006"/>
      <c r="AR334" s="1006"/>
      <c r="AS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c r="AA335" s="1006"/>
      <c r="AB335" s="1006"/>
      <c r="AC335" s="1006"/>
      <c r="AD335" s="1006"/>
      <c r="AE335" s="1006"/>
      <c r="AF335" s="1006"/>
      <c r="AG335" s="1006"/>
      <c r="AH335" s="1006"/>
      <c r="AI335" s="1006"/>
      <c r="AJ335" s="1006"/>
      <c r="AK335" s="1006"/>
      <c r="AL335" s="1006"/>
      <c r="AM335" s="1006"/>
      <c r="AN335" s="1006"/>
      <c r="AO335" s="1006"/>
      <c r="AP335" s="1006"/>
      <c r="AQ335" s="1006"/>
      <c r="AR335" s="1006"/>
      <c r="AS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c r="AA336" s="1006"/>
      <c r="AB336" s="1006"/>
      <c r="AC336" s="1006"/>
      <c r="AD336" s="1006"/>
      <c r="AE336" s="1006"/>
      <c r="AF336" s="1006"/>
      <c r="AG336" s="1006"/>
      <c r="AH336" s="1006"/>
      <c r="AI336" s="1006"/>
      <c r="AJ336" s="1006"/>
      <c r="AK336" s="1006"/>
      <c r="AL336" s="1006"/>
      <c r="AM336" s="1006"/>
      <c r="AN336" s="1006"/>
      <c r="AO336" s="1006"/>
      <c r="AP336" s="1006"/>
      <c r="AQ336" s="1006"/>
      <c r="AR336" s="1006"/>
      <c r="AS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c r="AA337" s="1006"/>
      <c r="AB337" s="1006"/>
      <c r="AC337" s="1006"/>
      <c r="AD337" s="1006"/>
      <c r="AE337" s="1006"/>
      <c r="AF337" s="1006"/>
      <c r="AG337" s="1006"/>
      <c r="AH337" s="1006"/>
      <c r="AI337" s="1006"/>
      <c r="AJ337" s="1006"/>
      <c r="AK337" s="1006"/>
      <c r="AL337" s="1006"/>
      <c r="AM337" s="1006"/>
      <c r="AN337" s="1006"/>
      <c r="AO337" s="1006"/>
      <c r="AP337" s="1006"/>
      <c r="AQ337" s="1006"/>
      <c r="AR337" s="1006"/>
      <c r="AS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c r="AA338" s="1006"/>
      <c r="AB338" s="1006"/>
      <c r="AC338" s="1006"/>
      <c r="AD338" s="1006"/>
      <c r="AE338" s="1006"/>
      <c r="AF338" s="1006"/>
      <c r="AG338" s="1006"/>
      <c r="AH338" s="1006"/>
      <c r="AI338" s="1006"/>
      <c r="AJ338" s="1006"/>
      <c r="AK338" s="1006"/>
      <c r="AL338" s="1006"/>
      <c r="AM338" s="1006"/>
      <c r="AN338" s="1006"/>
      <c r="AO338" s="1006"/>
      <c r="AP338" s="1006"/>
      <c r="AQ338" s="1006"/>
      <c r="AR338" s="1006"/>
      <c r="AS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c r="AA339" s="1006"/>
      <c r="AB339" s="1006"/>
      <c r="AC339" s="1006"/>
      <c r="AD339" s="1006"/>
      <c r="AE339" s="1006"/>
      <c r="AF339" s="1006"/>
      <c r="AG339" s="1006"/>
      <c r="AH339" s="1006"/>
      <c r="AI339" s="1006"/>
      <c r="AJ339" s="1006"/>
      <c r="AK339" s="1006"/>
      <c r="AL339" s="1006"/>
      <c r="AM339" s="1006"/>
      <c r="AN339" s="1006"/>
      <c r="AO339" s="1006"/>
      <c r="AP339" s="1006"/>
      <c r="AQ339" s="1006"/>
      <c r="AR339" s="1006"/>
      <c r="AS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c r="AA340" s="1006"/>
      <c r="AB340" s="1006"/>
      <c r="AC340" s="1006"/>
      <c r="AD340" s="1006"/>
      <c r="AE340" s="1006"/>
      <c r="AF340" s="1006"/>
      <c r="AG340" s="1006"/>
      <c r="AH340" s="1006"/>
      <c r="AI340" s="1006"/>
      <c r="AJ340" s="1006"/>
      <c r="AK340" s="1006"/>
      <c r="AL340" s="1006"/>
      <c r="AM340" s="1006"/>
      <c r="AN340" s="1006"/>
      <c r="AO340" s="1006"/>
      <c r="AP340" s="1006"/>
      <c r="AQ340" s="1006"/>
      <c r="AR340" s="1006"/>
      <c r="AS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c r="AA341" s="1006"/>
      <c r="AB341" s="1006"/>
      <c r="AC341" s="1006"/>
      <c r="AD341" s="1006"/>
      <c r="AE341" s="1006"/>
      <c r="AF341" s="1006"/>
      <c r="AG341" s="1006"/>
      <c r="AH341" s="1006"/>
      <c r="AI341" s="1006"/>
      <c r="AJ341" s="1006"/>
      <c r="AK341" s="1006"/>
      <c r="AL341" s="1006"/>
      <c r="AM341" s="1006"/>
      <c r="AN341" s="1006"/>
      <c r="AO341" s="1006"/>
      <c r="AP341" s="1006"/>
      <c r="AQ341" s="1006"/>
      <c r="AR341" s="1006"/>
      <c r="AS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c r="AA342" s="1006"/>
      <c r="AB342" s="1006"/>
      <c r="AC342" s="1006"/>
      <c r="AD342" s="1006"/>
      <c r="AE342" s="1006"/>
      <c r="AF342" s="1006"/>
      <c r="AG342" s="1006"/>
      <c r="AH342" s="1006"/>
      <c r="AI342" s="1006"/>
      <c r="AJ342" s="1006"/>
      <c r="AK342" s="1006"/>
      <c r="AL342" s="1006"/>
      <c r="AM342" s="1006"/>
      <c r="AN342" s="1006"/>
      <c r="AO342" s="1006"/>
      <c r="AP342" s="1006"/>
      <c r="AQ342" s="1006"/>
      <c r="AR342" s="1006"/>
      <c r="AS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c r="AA343" s="1006"/>
      <c r="AB343" s="1006"/>
      <c r="AC343" s="1006"/>
      <c r="AD343" s="1006"/>
      <c r="AE343" s="1006"/>
      <c r="AF343" s="1006"/>
      <c r="AG343" s="1006"/>
      <c r="AH343" s="1006"/>
      <c r="AI343" s="1006"/>
      <c r="AJ343" s="1006"/>
      <c r="AK343" s="1006"/>
      <c r="AL343" s="1006"/>
      <c r="AM343" s="1006"/>
      <c r="AN343" s="1006"/>
      <c r="AO343" s="1006"/>
      <c r="AP343" s="1006"/>
      <c r="AQ343" s="1006"/>
      <c r="AR343" s="1006"/>
      <c r="AS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c r="AA344" s="1006"/>
      <c r="AB344" s="1006"/>
      <c r="AC344" s="1006"/>
      <c r="AD344" s="1006"/>
      <c r="AE344" s="1006"/>
      <c r="AF344" s="1006"/>
      <c r="AG344" s="1006"/>
      <c r="AH344" s="1006"/>
      <c r="AI344" s="1006"/>
      <c r="AJ344" s="1006"/>
      <c r="AK344" s="1006"/>
      <c r="AL344" s="1006"/>
      <c r="AM344" s="1006"/>
      <c r="AN344" s="1006"/>
      <c r="AO344" s="1006"/>
      <c r="AP344" s="1006"/>
      <c r="AQ344" s="1006"/>
      <c r="AR344" s="1006"/>
      <c r="AS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c r="AA345" s="1006"/>
      <c r="AB345" s="1006"/>
      <c r="AC345" s="1006"/>
      <c r="AD345" s="1006"/>
      <c r="AE345" s="1006"/>
      <c r="AF345" s="1006"/>
      <c r="AG345" s="1006"/>
      <c r="AH345" s="1006"/>
      <c r="AI345" s="1006"/>
      <c r="AJ345" s="1006"/>
      <c r="AK345" s="1006"/>
      <c r="AL345" s="1006"/>
      <c r="AM345" s="1006"/>
      <c r="AN345" s="1006"/>
      <c r="AO345" s="1006"/>
      <c r="AP345" s="1006"/>
      <c r="AQ345" s="1006"/>
      <c r="AR345" s="1006"/>
      <c r="AS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c r="AA346" s="1006"/>
      <c r="AB346" s="1006"/>
      <c r="AC346" s="1006"/>
      <c r="AD346" s="1006"/>
      <c r="AE346" s="1006"/>
      <c r="AF346" s="1006"/>
      <c r="AG346" s="1006"/>
      <c r="AH346" s="1006"/>
      <c r="AI346" s="1006"/>
      <c r="AJ346" s="1006"/>
      <c r="AK346" s="1006"/>
      <c r="AL346" s="1006"/>
      <c r="AM346" s="1006"/>
      <c r="AN346" s="1006"/>
      <c r="AO346" s="1006"/>
      <c r="AP346" s="1006"/>
      <c r="AQ346" s="1006"/>
      <c r="AR346" s="1006"/>
      <c r="AS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c r="AA347" s="1006"/>
      <c r="AB347" s="1006"/>
      <c r="AC347" s="1006"/>
      <c r="AD347" s="1006"/>
      <c r="AE347" s="1006"/>
      <c r="AF347" s="1006"/>
      <c r="AG347" s="1006"/>
      <c r="AH347" s="1006"/>
      <c r="AI347" s="1006"/>
      <c r="AJ347" s="1006"/>
      <c r="AK347" s="1006"/>
      <c r="AL347" s="1006"/>
      <c r="AM347" s="1006"/>
      <c r="AN347" s="1006"/>
      <c r="AO347" s="1006"/>
      <c r="AP347" s="1006"/>
      <c r="AQ347" s="1006"/>
      <c r="AR347" s="1006"/>
      <c r="AS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c r="AA348" s="1006"/>
      <c r="AB348" s="1006"/>
      <c r="AC348" s="1006"/>
      <c r="AD348" s="1006"/>
      <c r="AE348" s="1006"/>
      <c r="AF348" s="1006"/>
      <c r="AG348" s="1006"/>
      <c r="AH348" s="1006"/>
      <c r="AI348" s="1006"/>
      <c r="AJ348" s="1006"/>
      <c r="AK348" s="1006"/>
      <c r="AL348" s="1006"/>
      <c r="AM348" s="1006"/>
      <c r="AN348" s="1006"/>
      <c r="AO348" s="1006"/>
      <c r="AP348" s="1006"/>
      <c r="AQ348" s="1006"/>
      <c r="AR348" s="1006"/>
      <c r="AS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c r="AA349" s="1006"/>
      <c r="AB349" s="1006"/>
      <c r="AC349" s="1006"/>
      <c r="AD349" s="1006"/>
      <c r="AE349" s="1006"/>
      <c r="AF349" s="1006"/>
      <c r="AG349" s="1006"/>
      <c r="AH349" s="1006"/>
      <c r="AI349" s="1006"/>
      <c r="AJ349" s="1006"/>
      <c r="AK349" s="1006"/>
      <c r="AL349" s="1006"/>
      <c r="AM349" s="1006"/>
      <c r="AN349" s="1006"/>
      <c r="AO349" s="1006"/>
      <c r="AP349" s="1006"/>
      <c r="AQ349" s="1006"/>
      <c r="AR349" s="1006"/>
      <c r="AS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c r="AA350" s="1006"/>
      <c r="AB350" s="1006"/>
      <c r="AC350" s="1006"/>
      <c r="AD350" s="1006"/>
      <c r="AE350" s="1006"/>
      <c r="AF350" s="1006"/>
      <c r="AG350" s="1006"/>
      <c r="AH350" s="1006"/>
      <c r="AI350" s="1006"/>
      <c r="AJ350" s="1006"/>
      <c r="AK350" s="1006"/>
      <c r="AL350" s="1006"/>
      <c r="AM350" s="1006"/>
      <c r="AN350" s="1006"/>
      <c r="AO350" s="1006"/>
      <c r="AP350" s="1006"/>
      <c r="AQ350" s="1006"/>
      <c r="AR350" s="1006"/>
      <c r="AS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c r="AA351" s="1006"/>
      <c r="AB351" s="1006"/>
      <c r="AC351" s="1006"/>
      <c r="AD351" s="1006"/>
      <c r="AE351" s="1006"/>
      <c r="AF351" s="1006"/>
      <c r="AG351" s="1006"/>
      <c r="AH351" s="1006"/>
      <c r="AI351" s="1006"/>
      <c r="AJ351" s="1006"/>
      <c r="AK351" s="1006"/>
      <c r="AL351" s="1006"/>
      <c r="AM351" s="1006"/>
      <c r="AN351" s="1006"/>
      <c r="AO351" s="1006"/>
      <c r="AP351" s="1006"/>
      <c r="AQ351" s="1006"/>
      <c r="AR351" s="1006"/>
      <c r="AS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c r="AA352" s="1006"/>
      <c r="AB352" s="1006"/>
      <c r="AC352" s="1006"/>
      <c r="AD352" s="1006"/>
      <c r="AE352" s="1006"/>
      <c r="AF352" s="1006"/>
      <c r="AG352" s="1006"/>
      <c r="AH352" s="1006"/>
      <c r="AI352" s="1006"/>
      <c r="AJ352" s="1006"/>
      <c r="AK352" s="1006"/>
      <c r="AL352" s="1006"/>
      <c r="AM352" s="1006"/>
      <c r="AN352" s="1006"/>
      <c r="AO352" s="1006"/>
      <c r="AP352" s="1006"/>
      <c r="AQ352" s="1006"/>
      <c r="AR352" s="1006"/>
      <c r="AS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c r="AA353" s="1006"/>
      <c r="AB353" s="1006"/>
      <c r="AC353" s="1006"/>
      <c r="AD353" s="1006"/>
      <c r="AE353" s="1006"/>
      <c r="AF353" s="1006"/>
      <c r="AG353" s="1006"/>
      <c r="AH353" s="1006"/>
      <c r="AI353" s="1006"/>
      <c r="AJ353" s="1006"/>
      <c r="AK353" s="1006"/>
      <c r="AL353" s="1006"/>
      <c r="AM353" s="1006"/>
      <c r="AN353" s="1006"/>
      <c r="AO353" s="1006"/>
      <c r="AP353" s="1006"/>
      <c r="AQ353" s="1006"/>
      <c r="AR353" s="1006"/>
      <c r="AS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c r="AA354" s="1006"/>
      <c r="AB354" s="1006"/>
      <c r="AC354" s="1006"/>
      <c r="AD354" s="1006"/>
      <c r="AE354" s="1006"/>
      <c r="AF354" s="1006"/>
      <c r="AG354" s="1006"/>
      <c r="AH354" s="1006"/>
      <c r="AI354" s="1006"/>
      <c r="AJ354" s="1006"/>
      <c r="AK354" s="1006"/>
      <c r="AL354" s="1006"/>
      <c r="AM354" s="1006"/>
      <c r="AN354" s="1006"/>
      <c r="AO354" s="1006"/>
      <c r="AP354" s="1006"/>
      <c r="AQ354" s="1006"/>
      <c r="AR354" s="1006"/>
      <c r="AS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c r="AA355" s="1006"/>
      <c r="AB355" s="1006"/>
      <c r="AC355" s="1006"/>
      <c r="AD355" s="1006"/>
      <c r="AE355" s="1006"/>
      <c r="AF355" s="1006"/>
      <c r="AG355" s="1006"/>
      <c r="AH355" s="1006"/>
      <c r="AI355" s="1006"/>
      <c r="AJ355" s="1006"/>
      <c r="AK355" s="1006"/>
      <c r="AL355" s="1006"/>
      <c r="AM355" s="1006"/>
      <c r="AN355" s="1006"/>
      <c r="AO355" s="1006"/>
      <c r="AP355" s="1006"/>
      <c r="AQ355" s="1006"/>
      <c r="AR355" s="1006"/>
      <c r="AS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c r="AA356" s="1006"/>
      <c r="AB356" s="1006"/>
      <c r="AC356" s="1006"/>
      <c r="AD356" s="1006"/>
      <c r="AE356" s="1006"/>
      <c r="AF356" s="1006"/>
      <c r="AG356" s="1006"/>
      <c r="AH356" s="1006"/>
      <c r="AI356" s="1006"/>
      <c r="AJ356" s="1006"/>
      <c r="AK356" s="1006"/>
      <c r="AL356" s="1006"/>
      <c r="AM356" s="1006"/>
      <c r="AN356" s="1006"/>
      <c r="AO356" s="1006"/>
      <c r="AP356" s="1006"/>
      <c r="AQ356" s="1006"/>
      <c r="AR356" s="1006"/>
      <c r="AS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c r="AA357" s="1006"/>
      <c r="AB357" s="1006"/>
      <c r="AC357" s="1006"/>
      <c r="AD357" s="1006"/>
      <c r="AE357" s="1006"/>
      <c r="AF357" s="1006"/>
      <c r="AG357" s="1006"/>
      <c r="AH357" s="1006"/>
      <c r="AI357" s="1006"/>
      <c r="AJ357" s="1006"/>
      <c r="AK357" s="1006"/>
      <c r="AL357" s="1006"/>
      <c r="AM357" s="1006"/>
      <c r="AN357" s="1006"/>
      <c r="AO357" s="1006"/>
      <c r="AP357" s="1006"/>
      <c r="AQ357" s="1006"/>
      <c r="AR357" s="1006"/>
      <c r="AS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c r="AA358" s="1006"/>
      <c r="AB358" s="1006"/>
      <c r="AC358" s="1006"/>
      <c r="AD358" s="1006"/>
      <c r="AE358" s="1006"/>
      <c r="AF358" s="1006"/>
      <c r="AG358" s="1006"/>
      <c r="AH358" s="1006"/>
      <c r="AI358" s="1006"/>
      <c r="AJ358" s="1006"/>
      <c r="AK358" s="1006"/>
      <c r="AL358" s="1006"/>
      <c r="AM358" s="1006"/>
      <c r="AN358" s="1006"/>
      <c r="AO358" s="1006"/>
      <c r="AP358" s="1006"/>
      <c r="AQ358" s="1006"/>
      <c r="AR358" s="1006"/>
      <c r="AS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c r="AA359" s="1006"/>
      <c r="AB359" s="1006"/>
      <c r="AC359" s="1006"/>
      <c r="AD359" s="1006"/>
      <c r="AE359" s="1006"/>
      <c r="AF359" s="1006"/>
      <c r="AG359" s="1006"/>
      <c r="AH359" s="1006"/>
      <c r="AI359" s="1006"/>
      <c r="AJ359" s="1006"/>
      <c r="AK359" s="1006"/>
      <c r="AL359" s="1006"/>
      <c r="AM359" s="1006"/>
      <c r="AN359" s="1006"/>
      <c r="AO359" s="1006"/>
      <c r="AP359" s="1006"/>
      <c r="AQ359" s="1006"/>
      <c r="AR359" s="1006"/>
      <c r="AS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c r="AA360" s="1006"/>
      <c r="AB360" s="1006"/>
      <c r="AC360" s="1006"/>
      <c r="AD360" s="1006"/>
      <c r="AE360" s="1006"/>
      <c r="AF360" s="1006"/>
      <c r="AG360" s="1006"/>
      <c r="AH360" s="1006"/>
      <c r="AI360" s="1006"/>
      <c r="AJ360" s="1006"/>
      <c r="AK360" s="1006"/>
      <c r="AL360" s="1006"/>
      <c r="AM360" s="1006"/>
      <c r="AN360" s="1006"/>
      <c r="AO360" s="1006"/>
      <c r="AP360" s="1006"/>
      <c r="AQ360" s="1006"/>
      <c r="AR360" s="1006"/>
      <c r="AS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c r="AA361" s="1006"/>
      <c r="AB361" s="1006"/>
      <c r="AC361" s="1006"/>
      <c r="AD361" s="1006"/>
      <c r="AE361" s="1006"/>
      <c r="AF361" s="1006"/>
      <c r="AG361" s="1006"/>
      <c r="AH361" s="1006"/>
      <c r="AI361" s="1006"/>
      <c r="AJ361" s="1006"/>
      <c r="AK361" s="1006"/>
      <c r="AL361" s="1006"/>
      <c r="AM361" s="1006"/>
      <c r="AN361" s="1006"/>
      <c r="AO361" s="1006"/>
      <c r="AP361" s="1006"/>
      <c r="AQ361" s="1006"/>
      <c r="AR361" s="1006"/>
      <c r="AS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c r="AA362" s="1006"/>
      <c r="AB362" s="1006"/>
      <c r="AC362" s="1006"/>
      <c r="AD362" s="1006"/>
      <c r="AE362" s="1006"/>
      <c r="AF362" s="1006"/>
      <c r="AG362" s="1006"/>
      <c r="AH362" s="1006"/>
      <c r="AI362" s="1006"/>
      <c r="AJ362" s="1006"/>
      <c r="AK362" s="1006"/>
      <c r="AL362" s="1006"/>
      <c r="AM362" s="1006"/>
      <c r="AN362" s="1006"/>
      <c r="AO362" s="1006"/>
      <c r="AP362" s="1006"/>
      <c r="AQ362" s="1006"/>
      <c r="AR362" s="1006"/>
      <c r="AS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c r="AA363" s="1006"/>
      <c r="AB363" s="1006"/>
      <c r="AC363" s="1006"/>
      <c r="AD363" s="1006"/>
      <c r="AE363" s="1006"/>
      <c r="AF363" s="1006"/>
      <c r="AG363" s="1006"/>
      <c r="AH363" s="1006"/>
      <c r="AI363" s="1006"/>
      <c r="AJ363" s="1006"/>
      <c r="AK363" s="1006"/>
      <c r="AL363" s="1006"/>
      <c r="AM363" s="1006"/>
      <c r="AN363" s="1006"/>
      <c r="AO363" s="1006"/>
      <c r="AP363" s="1006"/>
      <c r="AQ363" s="1006"/>
      <c r="AR363" s="1006"/>
      <c r="AS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c r="AA364" s="1006"/>
      <c r="AB364" s="1006"/>
      <c r="AC364" s="1006"/>
      <c r="AD364" s="1006"/>
      <c r="AE364" s="1006"/>
      <c r="AF364" s="1006"/>
      <c r="AG364" s="1006"/>
      <c r="AH364" s="1006"/>
      <c r="AI364" s="1006"/>
      <c r="AJ364" s="1006"/>
      <c r="AK364" s="1006"/>
      <c r="AL364" s="1006"/>
      <c r="AM364" s="1006"/>
      <c r="AN364" s="1006"/>
      <c r="AO364" s="1006"/>
      <c r="AP364" s="1006"/>
      <c r="AQ364" s="1006"/>
      <c r="AR364" s="1006"/>
      <c r="AS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c r="AA365" s="1006"/>
      <c r="AB365" s="1006"/>
      <c r="AC365" s="1006"/>
      <c r="AD365" s="1006"/>
      <c r="AE365" s="1006"/>
      <c r="AF365" s="1006"/>
      <c r="AG365" s="1006"/>
      <c r="AH365" s="1006"/>
      <c r="AI365" s="1006"/>
      <c r="AJ365" s="1006"/>
      <c r="AK365" s="1006"/>
      <c r="AL365" s="1006"/>
      <c r="AM365" s="1006"/>
      <c r="AN365" s="1006"/>
      <c r="AO365" s="1006"/>
      <c r="AP365" s="1006"/>
      <c r="AQ365" s="1006"/>
      <c r="AR365" s="1006"/>
      <c r="AS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c r="AA366" s="1006"/>
      <c r="AB366" s="1006"/>
      <c r="AC366" s="1006"/>
      <c r="AD366" s="1006"/>
      <c r="AE366" s="1006"/>
      <c r="AF366" s="1006"/>
      <c r="AG366" s="1006"/>
      <c r="AH366" s="1006"/>
      <c r="AI366" s="1006"/>
      <c r="AJ366" s="1006"/>
      <c r="AK366" s="1006"/>
      <c r="AL366" s="1006"/>
      <c r="AM366" s="1006"/>
      <c r="AN366" s="1006"/>
      <c r="AO366" s="1006"/>
      <c r="AP366" s="1006"/>
      <c r="AQ366" s="1006"/>
      <c r="AR366" s="1006"/>
      <c r="AS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c r="AA367" s="1006"/>
      <c r="AB367" s="1006"/>
      <c r="AC367" s="1006"/>
      <c r="AD367" s="1006"/>
      <c r="AE367" s="1006"/>
      <c r="AF367" s="1006"/>
      <c r="AG367" s="1006"/>
      <c r="AH367" s="1006"/>
      <c r="AI367" s="1006"/>
      <c r="AJ367" s="1006"/>
      <c r="AK367" s="1006"/>
      <c r="AL367" s="1006"/>
      <c r="AM367" s="1006"/>
      <c r="AN367" s="1006"/>
      <c r="AO367" s="1006"/>
      <c r="AP367" s="1006"/>
      <c r="AQ367" s="1006"/>
      <c r="AR367" s="1006"/>
      <c r="AS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c r="AA368" s="1006"/>
      <c r="AB368" s="1006"/>
      <c r="AC368" s="1006"/>
      <c r="AD368" s="1006"/>
      <c r="AE368" s="1006"/>
      <c r="AF368" s="1006"/>
      <c r="AG368" s="1006"/>
      <c r="AH368" s="1006"/>
      <c r="AI368" s="1006"/>
      <c r="AJ368" s="1006"/>
      <c r="AK368" s="1006"/>
      <c r="AL368" s="1006"/>
      <c r="AM368" s="1006"/>
      <c r="AN368" s="1006"/>
      <c r="AO368" s="1006"/>
      <c r="AP368" s="1006"/>
      <c r="AQ368" s="1006"/>
      <c r="AR368" s="1006"/>
      <c r="AS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c r="AA369" s="1006"/>
      <c r="AB369" s="1006"/>
      <c r="AC369" s="1006"/>
      <c r="AD369" s="1006"/>
      <c r="AE369" s="1006"/>
      <c r="AF369" s="1006"/>
      <c r="AG369" s="1006"/>
      <c r="AH369" s="1006"/>
      <c r="AI369" s="1006"/>
      <c r="AJ369" s="1006"/>
      <c r="AK369" s="1006"/>
      <c r="AL369" s="1006"/>
      <c r="AM369" s="1006"/>
      <c r="AN369" s="1006"/>
      <c r="AO369" s="1006"/>
      <c r="AP369" s="1006"/>
      <c r="AQ369" s="1006"/>
      <c r="AR369" s="1006"/>
      <c r="AS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c r="AA370" s="1006"/>
      <c r="AB370" s="1006"/>
      <c r="AC370" s="1006"/>
      <c r="AD370" s="1006"/>
      <c r="AE370" s="1006"/>
      <c r="AF370" s="1006"/>
      <c r="AG370" s="1006"/>
      <c r="AH370" s="1006"/>
      <c r="AI370" s="1006"/>
      <c r="AJ370" s="1006"/>
      <c r="AK370" s="1006"/>
      <c r="AL370" s="1006"/>
      <c r="AM370" s="1006"/>
      <c r="AN370" s="1006"/>
      <c r="AO370" s="1006"/>
      <c r="AP370" s="1006"/>
      <c r="AQ370" s="1006"/>
      <c r="AR370" s="1006"/>
      <c r="AS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c r="AA371" s="1006"/>
      <c r="AB371" s="1006"/>
      <c r="AC371" s="1006"/>
      <c r="AD371" s="1006"/>
      <c r="AE371" s="1006"/>
      <c r="AF371" s="1006"/>
      <c r="AG371" s="1006"/>
      <c r="AH371" s="1006"/>
      <c r="AI371" s="1006"/>
      <c r="AJ371" s="1006"/>
      <c r="AK371" s="1006"/>
      <c r="AL371" s="1006"/>
      <c r="AM371" s="1006"/>
      <c r="AN371" s="1006"/>
      <c r="AO371" s="1006"/>
      <c r="AP371" s="1006"/>
      <c r="AQ371" s="1006"/>
      <c r="AR371" s="1006"/>
      <c r="AS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c r="AA372" s="1006"/>
      <c r="AB372" s="1006"/>
      <c r="AC372" s="1006"/>
      <c r="AD372" s="1006"/>
      <c r="AE372" s="1006"/>
      <c r="AF372" s="1006"/>
      <c r="AG372" s="1006"/>
      <c r="AH372" s="1006"/>
      <c r="AI372" s="1006"/>
      <c r="AJ372" s="1006"/>
      <c r="AK372" s="1006"/>
      <c r="AL372" s="1006"/>
      <c r="AM372" s="1006"/>
      <c r="AN372" s="1006"/>
      <c r="AO372" s="1006"/>
      <c r="AP372" s="1006"/>
      <c r="AQ372" s="1006"/>
      <c r="AR372" s="1006"/>
      <c r="AS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c r="AA373" s="1006"/>
      <c r="AB373" s="1006"/>
      <c r="AC373" s="1006"/>
      <c r="AD373" s="1006"/>
      <c r="AE373" s="1006"/>
      <c r="AF373" s="1006"/>
      <c r="AG373" s="1006"/>
      <c r="AH373" s="1006"/>
      <c r="AI373" s="1006"/>
      <c r="AJ373" s="1006"/>
      <c r="AK373" s="1006"/>
      <c r="AL373" s="1006"/>
      <c r="AM373" s="1006"/>
      <c r="AN373" s="1006"/>
      <c r="AO373" s="1006"/>
      <c r="AP373" s="1006"/>
      <c r="AQ373" s="1006"/>
      <c r="AR373" s="1006"/>
      <c r="AS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c r="AA374" s="1006"/>
      <c r="AB374" s="1006"/>
      <c r="AC374" s="1006"/>
      <c r="AD374" s="1006"/>
      <c r="AE374" s="1006"/>
      <c r="AF374" s="1006"/>
      <c r="AG374" s="1006"/>
      <c r="AH374" s="1006"/>
      <c r="AI374" s="1006"/>
      <c r="AJ374" s="1006"/>
      <c r="AK374" s="1006"/>
      <c r="AL374" s="1006"/>
      <c r="AM374" s="1006"/>
      <c r="AN374" s="1006"/>
      <c r="AO374" s="1006"/>
      <c r="AP374" s="1006"/>
      <c r="AQ374" s="1006"/>
      <c r="AR374" s="1006"/>
      <c r="AS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c r="AA375" s="1006"/>
      <c r="AB375" s="1006"/>
      <c r="AC375" s="1006"/>
      <c r="AD375" s="1006"/>
      <c r="AE375" s="1006"/>
      <c r="AF375" s="1006"/>
      <c r="AG375" s="1006"/>
      <c r="AH375" s="1006"/>
      <c r="AI375" s="1006"/>
      <c r="AJ375" s="1006"/>
      <c r="AK375" s="1006"/>
      <c r="AL375" s="1006"/>
      <c r="AM375" s="1006"/>
      <c r="AN375" s="1006"/>
      <c r="AO375" s="1006"/>
      <c r="AP375" s="1006"/>
      <c r="AQ375" s="1006"/>
      <c r="AR375" s="1006"/>
      <c r="AS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c r="AA376" s="1006"/>
      <c r="AB376" s="1006"/>
      <c r="AC376" s="1006"/>
      <c r="AD376" s="1006"/>
      <c r="AE376" s="1006"/>
      <c r="AF376" s="1006"/>
      <c r="AG376" s="1006"/>
      <c r="AH376" s="1006"/>
      <c r="AI376" s="1006"/>
      <c r="AJ376" s="1006"/>
      <c r="AK376" s="1006"/>
      <c r="AL376" s="1006"/>
      <c r="AM376" s="1006"/>
      <c r="AN376" s="1006"/>
      <c r="AO376" s="1006"/>
      <c r="AP376" s="1006"/>
      <c r="AQ376" s="1006"/>
      <c r="AR376" s="1006"/>
      <c r="AS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c r="AA377" s="1006"/>
      <c r="AB377" s="1006"/>
      <c r="AC377" s="1006"/>
      <c r="AD377" s="1006"/>
      <c r="AE377" s="1006"/>
      <c r="AF377" s="1006"/>
      <c r="AG377" s="1006"/>
      <c r="AH377" s="1006"/>
      <c r="AI377" s="1006"/>
      <c r="AJ377" s="1006"/>
      <c r="AK377" s="1006"/>
      <c r="AL377" s="1006"/>
      <c r="AM377" s="1006"/>
      <c r="AN377" s="1006"/>
      <c r="AO377" s="1006"/>
      <c r="AP377" s="1006"/>
      <c r="AQ377" s="1006"/>
      <c r="AR377" s="1006"/>
      <c r="AS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c r="AA378" s="1006"/>
      <c r="AB378" s="1006"/>
      <c r="AC378" s="1006"/>
      <c r="AD378" s="1006"/>
      <c r="AE378" s="1006"/>
      <c r="AF378" s="1006"/>
      <c r="AG378" s="1006"/>
      <c r="AH378" s="1006"/>
      <c r="AI378" s="1006"/>
      <c r="AJ378" s="1006"/>
      <c r="AK378" s="1006"/>
      <c r="AL378" s="1006"/>
      <c r="AM378" s="1006"/>
      <c r="AN378" s="1006"/>
      <c r="AO378" s="1006"/>
      <c r="AP378" s="1006"/>
      <c r="AQ378" s="1006"/>
      <c r="AR378" s="1006"/>
      <c r="AS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c r="AA379" s="1006"/>
      <c r="AB379" s="1006"/>
      <c r="AC379" s="1006"/>
      <c r="AD379" s="1006"/>
      <c r="AE379" s="1006"/>
      <c r="AF379" s="1006"/>
      <c r="AG379" s="1006"/>
      <c r="AH379" s="1006"/>
      <c r="AI379" s="1006"/>
      <c r="AJ379" s="1006"/>
      <c r="AK379" s="1006"/>
      <c r="AL379" s="1006"/>
      <c r="AM379" s="1006"/>
      <c r="AN379" s="1006"/>
      <c r="AO379" s="1006"/>
      <c r="AP379" s="1006"/>
      <c r="AQ379" s="1006"/>
      <c r="AR379" s="1006"/>
      <c r="AS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c r="AA380" s="1006"/>
      <c r="AB380" s="1006"/>
      <c r="AC380" s="1006"/>
      <c r="AD380" s="1006"/>
      <c r="AE380" s="1006"/>
      <c r="AF380" s="1006"/>
      <c r="AG380" s="1006"/>
      <c r="AH380" s="1006"/>
      <c r="AI380" s="1006"/>
      <c r="AJ380" s="1006"/>
      <c r="AK380" s="1006"/>
      <c r="AL380" s="1006"/>
      <c r="AM380" s="1006"/>
      <c r="AN380" s="1006"/>
      <c r="AO380" s="1006"/>
      <c r="AP380" s="1006"/>
      <c r="AQ380" s="1006"/>
      <c r="AR380" s="1006"/>
      <c r="AS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c r="AA381" s="1006"/>
      <c r="AB381" s="1006"/>
      <c r="AC381" s="1006"/>
      <c r="AD381" s="1006"/>
      <c r="AE381" s="1006"/>
      <c r="AF381" s="1006"/>
      <c r="AG381" s="1006"/>
      <c r="AH381" s="1006"/>
      <c r="AI381" s="1006"/>
      <c r="AJ381" s="1006"/>
      <c r="AK381" s="1006"/>
      <c r="AL381" s="1006"/>
      <c r="AM381" s="1006"/>
      <c r="AN381" s="1006"/>
      <c r="AO381" s="1006"/>
      <c r="AP381" s="1006"/>
      <c r="AQ381" s="1006"/>
      <c r="AR381" s="1006"/>
      <c r="AS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c r="AA382" s="1006"/>
      <c r="AB382" s="1006"/>
      <c r="AC382" s="1006"/>
      <c r="AD382" s="1006"/>
      <c r="AE382" s="1006"/>
      <c r="AF382" s="1006"/>
      <c r="AG382" s="1006"/>
      <c r="AH382" s="1006"/>
      <c r="AI382" s="1006"/>
      <c r="AJ382" s="1006"/>
      <c r="AK382" s="1006"/>
      <c r="AL382" s="1006"/>
      <c r="AM382" s="1006"/>
      <c r="AN382" s="1006"/>
      <c r="AO382" s="1006"/>
      <c r="AP382" s="1006"/>
      <c r="AQ382" s="1006"/>
      <c r="AR382" s="1006"/>
      <c r="AS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c r="AA383" s="1006"/>
      <c r="AB383" s="1006"/>
      <c r="AC383" s="1006"/>
      <c r="AD383" s="1006"/>
      <c r="AE383" s="1006"/>
      <c r="AF383" s="1006"/>
      <c r="AG383" s="1006"/>
      <c r="AH383" s="1006"/>
      <c r="AI383" s="1006"/>
      <c r="AJ383" s="1006"/>
      <c r="AK383" s="1006"/>
      <c r="AL383" s="1006"/>
      <c r="AM383" s="1006"/>
      <c r="AN383" s="1006"/>
      <c r="AO383" s="1006"/>
      <c r="AP383" s="1006"/>
      <c r="AQ383" s="1006"/>
      <c r="AR383" s="1006"/>
      <c r="AS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c r="AA384" s="1006"/>
      <c r="AB384" s="1006"/>
      <c r="AC384" s="1006"/>
      <c r="AD384" s="1006"/>
      <c r="AE384" s="1006"/>
      <c r="AF384" s="1006"/>
      <c r="AG384" s="1006"/>
      <c r="AH384" s="1006"/>
      <c r="AI384" s="1006"/>
      <c r="AJ384" s="1006"/>
      <c r="AK384" s="1006"/>
      <c r="AL384" s="1006"/>
      <c r="AM384" s="1006"/>
      <c r="AN384" s="1006"/>
      <c r="AO384" s="1006"/>
      <c r="AP384" s="1006"/>
      <c r="AQ384" s="1006"/>
      <c r="AR384" s="1006"/>
      <c r="AS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c r="AA385" s="1006"/>
      <c r="AB385" s="1006"/>
      <c r="AC385" s="1006"/>
      <c r="AD385" s="1006"/>
      <c r="AE385" s="1006"/>
      <c r="AF385" s="1006"/>
      <c r="AG385" s="1006"/>
      <c r="AH385" s="1006"/>
      <c r="AI385" s="1006"/>
      <c r="AJ385" s="1006"/>
      <c r="AK385" s="1006"/>
      <c r="AL385" s="1006"/>
      <c r="AM385" s="1006"/>
      <c r="AN385" s="1006"/>
      <c r="AO385" s="1006"/>
      <c r="AP385" s="1006"/>
      <c r="AQ385" s="1006"/>
      <c r="AR385" s="1006"/>
      <c r="AS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c r="AA386" s="1006"/>
      <c r="AB386" s="1006"/>
      <c r="AC386" s="1006"/>
      <c r="AD386" s="1006"/>
      <c r="AE386" s="1006"/>
      <c r="AF386" s="1006"/>
      <c r="AG386" s="1006"/>
      <c r="AH386" s="1006"/>
      <c r="AI386" s="1006"/>
      <c r="AJ386" s="1006"/>
      <c r="AK386" s="1006"/>
      <c r="AL386" s="1006"/>
      <c r="AM386" s="1006"/>
      <c r="AN386" s="1006"/>
      <c r="AO386" s="1006"/>
      <c r="AP386" s="1006"/>
      <c r="AQ386" s="1006"/>
      <c r="AR386" s="1006"/>
      <c r="AS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c r="AA387" s="1006"/>
      <c r="AB387" s="1006"/>
      <c r="AC387" s="1006"/>
      <c r="AD387" s="1006"/>
      <c r="AE387" s="1006"/>
      <c r="AF387" s="1006"/>
      <c r="AG387" s="1006"/>
      <c r="AH387" s="1006"/>
      <c r="AI387" s="1006"/>
      <c r="AJ387" s="1006"/>
      <c r="AK387" s="1006"/>
      <c r="AL387" s="1006"/>
      <c r="AM387" s="1006"/>
      <c r="AN387" s="1006"/>
      <c r="AO387" s="1006"/>
      <c r="AP387" s="1006"/>
      <c r="AQ387" s="1006"/>
      <c r="AR387" s="1006"/>
      <c r="AS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c r="AA388" s="1006"/>
      <c r="AB388" s="1006"/>
      <c r="AC388" s="1006"/>
      <c r="AD388" s="1006"/>
      <c r="AE388" s="1006"/>
      <c r="AF388" s="1006"/>
      <c r="AG388" s="1006"/>
      <c r="AH388" s="1006"/>
      <c r="AI388" s="1006"/>
      <c r="AJ388" s="1006"/>
      <c r="AK388" s="1006"/>
      <c r="AL388" s="1006"/>
      <c r="AM388" s="1006"/>
      <c r="AN388" s="1006"/>
      <c r="AO388" s="1006"/>
      <c r="AP388" s="1006"/>
      <c r="AQ388" s="1006"/>
      <c r="AR388" s="1006"/>
      <c r="AS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c r="AA389" s="1006"/>
      <c r="AB389" s="1006"/>
      <c r="AC389" s="1006"/>
      <c r="AD389" s="1006"/>
      <c r="AE389" s="1006"/>
      <c r="AF389" s="1006"/>
      <c r="AG389" s="1006"/>
      <c r="AH389" s="1006"/>
      <c r="AI389" s="1006"/>
      <c r="AJ389" s="1006"/>
      <c r="AK389" s="1006"/>
      <c r="AL389" s="1006"/>
      <c r="AM389" s="1006"/>
      <c r="AN389" s="1006"/>
      <c r="AO389" s="1006"/>
      <c r="AP389" s="1006"/>
      <c r="AQ389" s="1006"/>
      <c r="AR389" s="1006"/>
      <c r="AS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c r="AA390" s="1006"/>
      <c r="AB390" s="1006"/>
      <c r="AC390" s="1006"/>
      <c r="AD390" s="1006"/>
      <c r="AE390" s="1006"/>
      <c r="AF390" s="1006"/>
      <c r="AG390" s="1006"/>
      <c r="AH390" s="1006"/>
      <c r="AI390" s="1006"/>
      <c r="AJ390" s="1006"/>
      <c r="AK390" s="1006"/>
      <c r="AL390" s="1006"/>
      <c r="AM390" s="1006"/>
      <c r="AN390" s="1006"/>
      <c r="AO390" s="1006"/>
      <c r="AP390" s="1006"/>
      <c r="AQ390" s="1006"/>
      <c r="AR390" s="1006"/>
      <c r="AS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c r="AA391" s="1006"/>
      <c r="AB391" s="1006"/>
      <c r="AC391" s="1006"/>
      <c r="AD391" s="1006"/>
      <c r="AE391" s="1006"/>
      <c r="AF391" s="1006"/>
      <c r="AG391" s="1006"/>
      <c r="AH391" s="1006"/>
      <c r="AI391" s="1006"/>
      <c r="AJ391" s="1006"/>
      <c r="AK391" s="1006"/>
      <c r="AL391" s="1006"/>
      <c r="AM391" s="1006"/>
      <c r="AN391" s="1006"/>
      <c r="AO391" s="1006"/>
      <c r="AP391" s="1006"/>
      <c r="AQ391" s="1006"/>
      <c r="AR391" s="1006"/>
      <c r="AS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c r="AA392" s="1006"/>
      <c r="AB392" s="1006"/>
      <c r="AC392" s="1006"/>
      <c r="AD392" s="1006"/>
      <c r="AE392" s="1006"/>
      <c r="AF392" s="1006"/>
      <c r="AG392" s="1006"/>
      <c r="AH392" s="1006"/>
      <c r="AI392" s="1006"/>
      <c r="AJ392" s="1006"/>
      <c r="AK392" s="1006"/>
      <c r="AL392" s="1006"/>
      <c r="AM392" s="1006"/>
      <c r="AN392" s="1006"/>
      <c r="AO392" s="1006"/>
      <c r="AP392" s="1006"/>
      <c r="AQ392" s="1006"/>
      <c r="AR392" s="1006"/>
      <c r="AS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c r="AA393" s="1006"/>
      <c r="AB393" s="1006"/>
      <c r="AC393" s="1006"/>
      <c r="AD393" s="1006"/>
      <c r="AE393" s="1006"/>
      <c r="AF393" s="1006"/>
      <c r="AG393" s="1006"/>
      <c r="AH393" s="1006"/>
      <c r="AI393" s="1006"/>
      <c r="AJ393" s="1006"/>
      <c r="AK393" s="1006"/>
      <c r="AL393" s="1006"/>
      <c r="AM393" s="1006"/>
      <c r="AN393" s="1006"/>
      <c r="AO393" s="1006"/>
      <c r="AP393" s="1006"/>
      <c r="AQ393" s="1006"/>
      <c r="AR393" s="1006"/>
      <c r="AS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c r="AA394" s="1006"/>
      <c r="AB394" s="1006"/>
      <c r="AC394" s="1006"/>
      <c r="AD394" s="1006"/>
      <c r="AE394" s="1006"/>
      <c r="AF394" s="1006"/>
      <c r="AG394" s="1006"/>
      <c r="AH394" s="1006"/>
      <c r="AI394" s="1006"/>
      <c r="AJ394" s="1006"/>
      <c r="AK394" s="1006"/>
      <c r="AL394" s="1006"/>
      <c r="AM394" s="1006"/>
      <c r="AN394" s="1006"/>
      <c r="AO394" s="1006"/>
      <c r="AP394" s="1006"/>
      <c r="AQ394" s="1006"/>
      <c r="AR394" s="1006"/>
      <c r="AS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c r="AA395" s="1006"/>
      <c r="AB395" s="1006"/>
      <c r="AC395" s="1006"/>
      <c r="AD395" s="1006"/>
      <c r="AE395" s="1006"/>
      <c r="AF395" s="1006"/>
      <c r="AG395" s="1006"/>
      <c r="AH395" s="1006"/>
      <c r="AI395" s="1006"/>
      <c r="AJ395" s="1006"/>
      <c r="AK395" s="1006"/>
      <c r="AL395" s="1006"/>
      <c r="AM395" s="1006"/>
      <c r="AN395" s="1006"/>
      <c r="AO395" s="1006"/>
      <c r="AP395" s="1006"/>
      <c r="AQ395" s="1006"/>
      <c r="AR395" s="1006"/>
      <c r="AS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c r="AA396" s="1006"/>
      <c r="AB396" s="1006"/>
      <c r="AC396" s="1006"/>
      <c r="AD396" s="1006"/>
      <c r="AE396" s="1006"/>
      <c r="AF396" s="1006"/>
      <c r="AG396" s="1006"/>
      <c r="AH396" s="1006"/>
      <c r="AI396" s="1006"/>
      <c r="AJ396" s="1006"/>
      <c r="AK396" s="1006"/>
      <c r="AL396" s="1006"/>
      <c r="AM396" s="1006"/>
      <c r="AN396" s="1006"/>
      <c r="AO396" s="1006"/>
      <c r="AP396" s="1006"/>
      <c r="AQ396" s="1006"/>
      <c r="AR396" s="1006"/>
      <c r="AS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c r="AA397" s="1006"/>
      <c r="AB397" s="1006"/>
      <c r="AC397" s="1006"/>
      <c r="AD397" s="1006"/>
      <c r="AE397" s="1006"/>
      <c r="AF397" s="1006"/>
      <c r="AG397" s="1006"/>
      <c r="AH397" s="1006"/>
      <c r="AI397" s="1006"/>
      <c r="AJ397" s="1006"/>
      <c r="AK397" s="1006"/>
      <c r="AL397" s="1006"/>
      <c r="AM397" s="1006"/>
      <c r="AN397" s="1006"/>
      <c r="AO397" s="1006"/>
      <c r="AP397" s="1006"/>
      <c r="AQ397" s="1006"/>
      <c r="AR397" s="1006"/>
      <c r="AS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c r="AA398" s="1006"/>
      <c r="AB398" s="1006"/>
      <c r="AC398" s="1006"/>
      <c r="AD398" s="1006"/>
      <c r="AE398" s="1006"/>
      <c r="AF398" s="1006"/>
      <c r="AG398" s="1006"/>
      <c r="AH398" s="1006"/>
      <c r="AI398" s="1006"/>
      <c r="AJ398" s="1006"/>
      <c r="AK398" s="1006"/>
      <c r="AL398" s="1006"/>
      <c r="AM398" s="1006"/>
      <c r="AN398" s="1006"/>
      <c r="AO398" s="1006"/>
      <c r="AP398" s="1006"/>
      <c r="AQ398" s="1006"/>
      <c r="AR398" s="1006"/>
      <c r="AS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c r="AA399" s="1006"/>
      <c r="AB399" s="1006"/>
      <c r="AC399" s="1006"/>
      <c r="AD399" s="1006"/>
      <c r="AE399" s="1006"/>
      <c r="AF399" s="1006"/>
      <c r="AG399" s="1006"/>
      <c r="AH399" s="1006"/>
      <c r="AI399" s="1006"/>
      <c r="AJ399" s="1006"/>
      <c r="AK399" s="1006"/>
      <c r="AL399" s="1006"/>
      <c r="AM399" s="1006"/>
      <c r="AN399" s="1006"/>
      <c r="AO399" s="1006"/>
      <c r="AP399" s="1006"/>
      <c r="AQ399" s="1006"/>
      <c r="AR399" s="1006"/>
      <c r="AS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c r="AA400" s="1006"/>
      <c r="AB400" s="1006"/>
      <c r="AC400" s="1006"/>
      <c r="AD400" s="1006"/>
      <c r="AE400" s="1006"/>
      <c r="AF400" s="1006"/>
      <c r="AG400" s="1006"/>
      <c r="AH400" s="1006"/>
      <c r="AI400" s="1006"/>
      <c r="AJ400" s="1006"/>
      <c r="AK400" s="1006"/>
      <c r="AL400" s="1006"/>
      <c r="AM400" s="1006"/>
      <c r="AN400" s="1006"/>
      <c r="AO400" s="1006"/>
      <c r="AP400" s="1006"/>
      <c r="AQ400" s="1006"/>
      <c r="AR400" s="1006"/>
      <c r="AS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c r="AA401" s="1006"/>
      <c r="AB401" s="1006"/>
      <c r="AC401" s="1006"/>
      <c r="AD401" s="1006"/>
      <c r="AE401" s="1006"/>
      <c r="AF401" s="1006"/>
      <c r="AG401" s="1006"/>
      <c r="AH401" s="1006"/>
      <c r="AI401" s="1006"/>
      <c r="AJ401" s="1006"/>
      <c r="AK401" s="1006"/>
      <c r="AL401" s="1006"/>
      <c r="AM401" s="1006"/>
      <c r="AN401" s="1006"/>
      <c r="AO401" s="1006"/>
      <c r="AP401" s="1006"/>
      <c r="AQ401" s="1006"/>
      <c r="AR401" s="1006"/>
      <c r="AS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c r="AA402" s="1006"/>
      <c r="AB402" s="1006"/>
      <c r="AC402" s="1006"/>
      <c r="AD402" s="1006"/>
      <c r="AE402" s="1006"/>
      <c r="AF402" s="1006"/>
      <c r="AG402" s="1006"/>
      <c r="AH402" s="1006"/>
      <c r="AI402" s="1006"/>
      <c r="AJ402" s="1006"/>
      <c r="AK402" s="1006"/>
      <c r="AL402" s="1006"/>
      <c r="AM402" s="1006"/>
      <c r="AN402" s="1006"/>
      <c r="AO402" s="1006"/>
      <c r="AP402" s="1006"/>
      <c r="AQ402" s="1006"/>
      <c r="AR402" s="1006"/>
      <c r="AS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c r="AA403" s="1006"/>
      <c r="AB403" s="1006"/>
      <c r="AC403" s="1006"/>
      <c r="AD403" s="1006"/>
      <c r="AE403" s="1006"/>
      <c r="AF403" s="1006"/>
      <c r="AG403" s="1006"/>
      <c r="AH403" s="1006"/>
      <c r="AI403" s="1006"/>
      <c r="AJ403" s="1006"/>
      <c r="AK403" s="1006"/>
      <c r="AL403" s="1006"/>
      <c r="AM403" s="1006"/>
      <c r="AN403" s="1006"/>
      <c r="AO403" s="1006"/>
      <c r="AP403" s="1006"/>
      <c r="AQ403" s="1006"/>
      <c r="AR403" s="1006"/>
      <c r="AS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c r="AA404" s="1006"/>
      <c r="AB404" s="1006"/>
      <c r="AC404" s="1006"/>
      <c r="AD404" s="1006"/>
      <c r="AE404" s="1006"/>
      <c r="AF404" s="1006"/>
      <c r="AG404" s="1006"/>
      <c r="AH404" s="1006"/>
      <c r="AI404" s="1006"/>
      <c r="AJ404" s="1006"/>
      <c r="AK404" s="1006"/>
      <c r="AL404" s="1006"/>
      <c r="AM404" s="1006"/>
      <c r="AN404" s="1006"/>
      <c r="AO404" s="1006"/>
      <c r="AP404" s="1006"/>
      <c r="AQ404" s="1006"/>
      <c r="AR404" s="1006"/>
      <c r="AS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c r="AA405" s="1006"/>
      <c r="AB405" s="1006"/>
      <c r="AC405" s="1006"/>
      <c r="AD405" s="1006"/>
      <c r="AE405" s="1006"/>
      <c r="AF405" s="1006"/>
      <c r="AG405" s="1006"/>
      <c r="AH405" s="1006"/>
      <c r="AI405" s="1006"/>
      <c r="AJ405" s="1006"/>
      <c r="AK405" s="1006"/>
      <c r="AL405" s="1006"/>
      <c r="AM405" s="1006"/>
      <c r="AN405" s="1006"/>
      <c r="AO405" s="1006"/>
      <c r="AP405" s="1006"/>
      <c r="AQ405" s="1006"/>
      <c r="AR405" s="1006"/>
      <c r="AS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c r="AA406" s="1006"/>
      <c r="AB406" s="1006"/>
      <c r="AC406" s="1006"/>
      <c r="AD406" s="1006"/>
      <c r="AE406" s="1006"/>
      <c r="AF406" s="1006"/>
      <c r="AG406" s="1006"/>
      <c r="AH406" s="1006"/>
      <c r="AI406" s="1006"/>
      <c r="AJ406" s="1006"/>
      <c r="AK406" s="1006"/>
      <c r="AL406" s="1006"/>
      <c r="AM406" s="1006"/>
      <c r="AN406" s="1006"/>
      <c r="AO406" s="1006"/>
      <c r="AP406" s="1006"/>
      <c r="AQ406" s="1006"/>
      <c r="AR406" s="1006"/>
      <c r="AS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c r="AA407" s="1006"/>
      <c r="AB407" s="1006"/>
      <c r="AC407" s="1006"/>
      <c r="AD407" s="1006"/>
      <c r="AE407" s="1006"/>
      <c r="AF407" s="1006"/>
      <c r="AG407" s="1006"/>
      <c r="AH407" s="1006"/>
      <c r="AI407" s="1006"/>
      <c r="AJ407" s="1006"/>
      <c r="AK407" s="1006"/>
      <c r="AL407" s="1006"/>
      <c r="AM407" s="1006"/>
      <c r="AN407" s="1006"/>
      <c r="AO407" s="1006"/>
      <c r="AP407" s="1006"/>
      <c r="AQ407" s="1006"/>
      <c r="AR407" s="1006"/>
      <c r="AS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c r="AA408" s="1006"/>
      <c r="AB408" s="1006"/>
      <c r="AC408" s="1006"/>
      <c r="AD408" s="1006"/>
      <c r="AE408" s="1006"/>
      <c r="AF408" s="1006"/>
      <c r="AG408" s="1006"/>
      <c r="AH408" s="1006"/>
      <c r="AI408" s="1006"/>
      <c r="AJ408" s="1006"/>
      <c r="AK408" s="1006"/>
      <c r="AL408" s="1006"/>
      <c r="AM408" s="1006"/>
      <c r="AN408" s="1006"/>
      <c r="AO408" s="1006"/>
      <c r="AP408" s="1006"/>
      <c r="AQ408" s="1006"/>
      <c r="AR408" s="1006"/>
      <c r="AS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c r="AA409" s="1006"/>
      <c r="AB409" s="1006"/>
      <c r="AC409" s="1006"/>
      <c r="AD409" s="1006"/>
      <c r="AE409" s="1006"/>
      <c r="AF409" s="1006"/>
      <c r="AG409" s="1006"/>
      <c r="AH409" s="1006"/>
      <c r="AI409" s="1006"/>
      <c r="AJ409" s="1006"/>
      <c r="AK409" s="1006"/>
      <c r="AL409" s="1006"/>
      <c r="AM409" s="1006"/>
      <c r="AN409" s="1006"/>
      <c r="AO409" s="1006"/>
      <c r="AP409" s="1006"/>
      <c r="AQ409" s="1006"/>
      <c r="AR409" s="1006"/>
      <c r="AS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c r="AA410" s="1006"/>
      <c r="AB410" s="1006"/>
      <c r="AC410" s="1006"/>
      <c r="AD410" s="1006"/>
      <c r="AE410" s="1006"/>
      <c r="AF410" s="1006"/>
      <c r="AG410" s="1006"/>
      <c r="AH410" s="1006"/>
      <c r="AI410" s="1006"/>
      <c r="AJ410" s="1006"/>
      <c r="AK410" s="1006"/>
      <c r="AL410" s="1006"/>
      <c r="AM410" s="1006"/>
      <c r="AN410" s="1006"/>
      <c r="AO410" s="1006"/>
      <c r="AP410" s="1006"/>
      <c r="AQ410" s="1006"/>
      <c r="AR410" s="1006"/>
      <c r="AS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c r="AA411" s="1006"/>
      <c r="AB411" s="1006"/>
      <c r="AC411" s="1006"/>
      <c r="AD411" s="1006"/>
      <c r="AE411" s="1006"/>
      <c r="AF411" s="1006"/>
      <c r="AG411" s="1006"/>
      <c r="AH411" s="1006"/>
      <c r="AI411" s="1006"/>
      <c r="AJ411" s="1006"/>
      <c r="AK411" s="1006"/>
      <c r="AL411" s="1006"/>
      <c r="AM411" s="1006"/>
      <c r="AN411" s="1006"/>
      <c r="AO411" s="1006"/>
      <c r="AP411" s="1006"/>
      <c r="AQ411" s="1006"/>
      <c r="AR411" s="1006"/>
      <c r="AS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c r="AA412" s="1006"/>
      <c r="AB412" s="1006"/>
      <c r="AC412" s="1006"/>
      <c r="AD412" s="1006"/>
      <c r="AE412" s="1006"/>
      <c r="AF412" s="1006"/>
      <c r="AG412" s="1006"/>
      <c r="AH412" s="1006"/>
      <c r="AI412" s="1006"/>
      <c r="AJ412" s="1006"/>
      <c r="AK412" s="1006"/>
      <c r="AL412" s="1006"/>
      <c r="AM412" s="1006"/>
      <c r="AN412" s="1006"/>
      <c r="AO412" s="1006"/>
      <c r="AP412" s="1006"/>
      <c r="AQ412" s="1006"/>
      <c r="AR412" s="1006"/>
      <c r="AS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c r="AA413" s="1006"/>
      <c r="AB413" s="1006"/>
      <c r="AC413" s="1006"/>
      <c r="AD413" s="1006"/>
      <c r="AE413" s="1006"/>
      <c r="AF413" s="1006"/>
      <c r="AG413" s="1006"/>
      <c r="AH413" s="1006"/>
      <c r="AI413" s="1006"/>
      <c r="AJ413" s="1006"/>
      <c r="AK413" s="1006"/>
      <c r="AL413" s="1006"/>
      <c r="AM413" s="1006"/>
      <c r="AN413" s="1006"/>
      <c r="AO413" s="1006"/>
      <c r="AP413" s="1006"/>
      <c r="AQ413" s="1006"/>
      <c r="AR413" s="1006"/>
      <c r="AS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c r="AA414" s="1006"/>
      <c r="AB414" s="1006"/>
      <c r="AC414" s="1006"/>
      <c r="AD414" s="1006"/>
      <c r="AE414" s="1006"/>
      <c r="AF414" s="1006"/>
      <c r="AG414" s="1006"/>
      <c r="AH414" s="1006"/>
      <c r="AI414" s="1006"/>
      <c r="AJ414" s="1006"/>
      <c r="AK414" s="1006"/>
      <c r="AL414" s="1006"/>
      <c r="AM414" s="1006"/>
      <c r="AN414" s="1006"/>
      <c r="AO414" s="1006"/>
      <c r="AP414" s="1006"/>
      <c r="AQ414" s="1006"/>
      <c r="AR414" s="1006"/>
      <c r="AS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c r="AA415" s="1006"/>
      <c r="AB415" s="1006"/>
      <c r="AC415" s="1006"/>
      <c r="AD415" s="1006"/>
      <c r="AE415" s="1006"/>
      <c r="AF415" s="1006"/>
      <c r="AG415" s="1006"/>
      <c r="AH415" s="1006"/>
      <c r="AI415" s="1006"/>
      <c r="AJ415" s="1006"/>
      <c r="AK415" s="1006"/>
      <c r="AL415" s="1006"/>
      <c r="AM415" s="1006"/>
      <c r="AN415" s="1006"/>
      <c r="AO415" s="1006"/>
      <c r="AP415" s="1006"/>
      <c r="AQ415" s="1006"/>
      <c r="AR415" s="1006"/>
      <c r="AS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c r="AA416" s="1006"/>
      <c r="AB416" s="1006"/>
      <c r="AC416" s="1006"/>
      <c r="AD416" s="1006"/>
      <c r="AE416" s="1006"/>
      <c r="AF416" s="1006"/>
      <c r="AG416" s="1006"/>
      <c r="AH416" s="1006"/>
      <c r="AI416" s="1006"/>
      <c r="AJ416" s="1006"/>
      <c r="AK416" s="1006"/>
      <c r="AL416" s="1006"/>
      <c r="AM416" s="1006"/>
      <c r="AN416" s="1006"/>
      <c r="AO416" s="1006"/>
      <c r="AP416" s="1006"/>
      <c r="AQ416" s="1006"/>
      <c r="AR416" s="1006"/>
      <c r="AS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c r="AA417" s="1006"/>
      <c r="AB417" s="1006"/>
      <c r="AC417" s="1006"/>
      <c r="AD417" s="1006"/>
      <c r="AE417" s="1006"/>
      <c r="AF417" s="1006"/>
      <c r="AG417" s="1006"/>
      <c r="AH417" s="1006"/>
      <c r="AI417" s="1006"/>
      <c r="AJ417" s="1006"/>
      <c r="AK417" s="1006"/>
      <c r="AL417" s="1006"/>
      <c r="AM417" s="1006"/>
      <c r="AN417" s="1006"/>
      <c r="AO417" s="1006"/>
      <c r="AP417" s="1006"/>
      <c r="AQ417" s="1006"/>
      <c r="AR417" s="1006"/>
      <c r="AS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c r="AA418" s="1006"/>
      <c r="AB418" s="1006"/>
      <c r="AC418" s="1006"/>
      <c r="AD418" s="1006"/>
      <c r="AE418" s="1006"/>
      <c r="AF418" s="1006"/>
      <c r="AG418" s="1006"/>
      <c r="AH418" s="1006"/>
      <c r="AI418" s="1006"/>
      <c r="AJ418" s="1006"/>
      <c r="AK418" s="1006"/>
      <c r="AL418" s="1006"/>
      <c r="AM418" s="1006"/>
      <c r="AN418" s="1006"/>
      <c r="AO418" s="1006"/>
      <c r="AP418" s="1006"/>
      <c r="AQ418" s="1006"/>
      <c r="AR418" s="1006"/>
      <c r="AS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c r="AA419" s="1006"/>
      <c r="AB419" s="1006"/>
      <c r="AC419" s="1006"/>
      <c r="AD419" s="1006"/>
      <c r="AE419" s="1006"/>
      <c r="AF419" s="1006"/>
      <c r="AG419" s="1006"/>
      <c r="AH419" s="1006"/>
      <c r="AI419" s="1006"/>
      <c r="AJ419" s="1006"/>
      <c r="AK419" s="1006"/>
      <c r="AL419" s="1006"/>
      <c r="AM419" s="1006"/>
      <c r="AN419" s="1006"/>
      <c r="AO419" s="1006"/>
      <c r="AP419" s="1006"/>
      <c r="AQ419" s="1006"/>
      <c r="AR419" s="1006"/>
      <c r="AS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c r="AA420" s="1006"/>
      <c r="AB420" s="1006"/>
      <c r="AC420" s="1006"/>
      <c r="AD420" s="1006"/>
      <c r="AE420" s="1006"/>
      <c r="AF420" s="1006"/>
      <c r="AG420" s="1006"/>
      <c r="AH420" s="1006"/>
      <c r="AI420" s="1006"/>
      <c r="AJ420" s="1006"/>
      <c r="AK420" s="1006"/>
      <c r="AL420" s="1006"/>
      <c r="AM420" s="1006"/>
      <c r="AN420" s="1006"/>
      <c r="AO420" s="1006"/>
      <c r="AP420" s="1006"/>
      <c r="AQ420" s="1006"/>
      <c r="AR420" s="1006"/>
      <c r="AS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c r="AA421" s="1006"/>
      <c r="AB421" s="1006"/>
      <c r="AC421" s="1006"/>
      <c r="AD421" s="1006"/>
      <c r="AE421" s="1006"/>
      <c r="AF421" s="1006"/>
      <c r="AG421" s="1006"/>
      <c r="AH421" s="1006"/>
      <c r="AI421" s="1006"/>
      <c r="AJ421" s="1006"/>
      <c r="AK421" s="1006"/>
      <c r="AL421" s="1006"/>
      <c r="AM421" s="1006"/>
      <c r="AN421" s="1006"/>
      <c r="AO421" s="1006"/>
      <c r="AP421" s="1006"/>
      <c r="AQ421" s="1006"/>
      <c r="AR421" s="1006"/>
      <c r="AS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c r="AA422" s="1006"/>
      <c r="AB422" s="1006"/>
      <c r="AC422" s="1006"/>
      <c r="AD422" s="1006"/>
      <c r="AE422" s="1006"/>
      <c r="AF422" s="1006"/>
      <c r="AG422" s="1006"/>
      <c r="AH422" s="1006"/>
      <c r="AI422" s="1006"/>
      <c r="AJ422" s="1006"/>
      <c r="AK422" s="1006"/>
      <c r="AL422" s="1006"/>
      <c r="AM422" s="1006"/>
      <c r="AN422" s="1006"/>
      <c r="AO422" s="1006"/>
      <c r="AP422" s="1006"/>
      <c r="AQ422" s="1006"/>
      <c r="AR422" s="1006"/>
      <c r="AS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c r="AA423" s="1006"/>
      <c r="AB423" s="1006"/>
      <c r="AC423" s="1006"/>
      <c r="AD423" s="1006"/>
      <c r="AE423" s="1006"/>
      <c r="AF423" s="1006"/>
      <c r="AG423" s="1006"/>
      <c r="AH423" s="1006"/>
      <c r="AI423" s="1006"/>
      <c r="AJ423" s="1006"/>
      <c r="AK423" s="1006"/>
      <c r="AL423" s="1006"/>
      <c r="AM423" s="1006"/>
      <c r="AN423" s="1006"/>
      <c r="AO423" s="1006"/>
      <c r="AP423" s="1006"/>
      <c r="AQ423" s="1006"/>
      <c r="AR423" s="1006"/>
      <c r="AS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c r="AA424" s="1006"/>
      <c r="AB424" s="1006"/>
      <c r="AC424" s="1006"/>
      <c r="AD424" s="1006"/>
      <c r="AE424" s="1006"/>
      <c r="AF424" s="1006"/>
      <c r="AG424" s="1006"/>
      <c r="AH424" s="1006"/>
      <c r="AI424" s="1006"/>
      <c r="AJ424" s="1006"/>
      <c r="AK424" s="1006"/>
      <c r="AL424" s="1006"/>
      <c r="AM424" s="1006"/>
      <c r="AN424" s="1006"/>
      <c r="AO424" s="1006"/>
      <c r="AP424" s="1006"/>
      <c r="AQ424" s="1006"/>
      <c r="AR424" s="1006"/>
      <c r="AS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c r="AA425" s="1006"/>
      <c r="AB425" s="1006"/>
      <c r="AC425" s="1006"/>
      <c r="AD425" s="1006"/>
      <c r="AE425" s="1006"/>
      <c r="AF425" s="1006"/>
      <c r="AG425" s="1006"/>
      <c r="AH425" s="1006"/>
      <c r="AI425" s="1006"/>
      <c r="AJ425" s="1006"/>
      <c r="AK425" s="1006"/>
      <c r="AL425" s="1006"/>
      <c r="AM425" s="1006"/>
      <c r="AN425" s="1006"/>
      <c r="AO425" s="1006"/>
      <c r="AP425" s="1006"/>
      <c r="AQ425" s="1006"/>
      <c r="AR425" s="1006"/>
      <c r="AS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c r="AA426" s="1006"/>
      <c r="AB426" s="1006"/>
      <c r="AC426" s="1006"/>
      <c r="AD426" s="1006"/>
      <c r="AE426" s="1006"/>
      <c r="AF426" s="1006"/>
      <c r="AG426" s="1006"/>
      <c r="AH426" s="1006"/>
      <c r="AI426" s="1006"/>
      <c r="AJ426" s="1006"/>
      <c r="AK426" s="1006"/>
      <c r="AL426" s="1006"/>
      <c r="AM426" s="1006"/>
      <c r="AN426" s="1006"/>
      <c r="AO426" s="1006"/>
      <c r="AP426" s="1006"/>
      <c r="AQ426" s="1006"/>
      <c r="AR426" s="1006"/>
      <c r="AS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c r="AA427" s="1006"/>
      <c r="AB427" s="1006"/>
      <c r="AC427" s="1006"/>
      <c r="AD427" s="1006"/>
      <c r="AE427" s="1006"/>
      <c r="AF427" s="1006"/>
      <c r="AG427" s="1006"/>
      <c r="AH427" s="1006"/>
      <c r="AI427" s="1006"/>
      <c r="AJ427" s="1006"/>
      <c r="AK427" s="1006"/>
      <c r="AL427" s="1006"/>
      <c r="AM427" s="1006"/>
      <c r="AN427" s="1006"/>
      <c r="AO427" s="1006"/>
      <c r="AP427" s="1006"/>
      <c r="AQ427" s="1006"/>
      <c r="AR427" s="1006"/>
      <c r="AS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c r="AA428" s="1006"/>
      <c r="AB428" s="1006"/>
      <c r="AC428" s="1006"/>
      <c r="AD428" s="1006"/>
      <c r="AE428" s="1006"/>
      <c r="AF428" s="1006"/>
      <c r="AG428" s="1006"/>
      <c r="AH428" s="1006"/>
      <c r="AI428" s="1006"/>
      <c r="AJ428" s="1006"/>
      <c r="AK428" s="1006"/>
      <c r="AL428" s="1006"/>
      <c r="AM428" s="1006"/>
      <c r="AN428" s="1006"/>
      <c r="AO428" s="1006"/>
      <c r="AP428" s="1006"/>
      <c r="AQ428" s="1006"/>
      <c r="AR428" s="1006"/>
      <c r="AS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c r="AA429" s="1006"/>
      <c r="AB429" s="1006"/>
      <c r="AC429" s="1006"/>
      <c r="AD429" s="1006"/>
      <c r="AE429" s="1006"/>
      <c r="AF429" s="1006"/>
      <c r="AG429" s="1006"/>
      <c r="AH429" s="1006"/>
      <c r="AI429" s="1006"/>
      <c r="AJ429" s="1006"/>
      <c r="AK429" s="1006"/>
      <c r="AL429" s="1006"/>
      <c r="AM429" s="1006"/>
      <c r="AN429" s="1006"/>
      <c r="AO429" s="1006"/>
      <c r="AP429" s="1006"/>
      <c r="AQ429" s="1006"/>
      <c r="AR429" s="1006"/>
      <c r="AS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c r="AA430" s="1006"/>
      <c r="AB430" s="1006"/>
      <c r="AC430" s="1006"/>
      <c r="AD430" s="1006"/>
      <c r="AE430" s="1006"/>
      <c r="AF430" s="1006"/>
      <c r="AG430" s="1006"/>
      <c r="AH430" s="1006"/>
      <c r="AI430" s="1006"/>
      <c r="AJ430" s="1006"/>
      <c r="AK430" s="1006"/>
      <c r="AL430" s="1006"/>
      <c r="AM430" s="1006"/>
      <c r="AN430" s="1006"/>
      <c r="AO430" s="1006"/>
      <c r="AP430" s="1006"/>
      <c r="AQ430" s="1006"/>
      <c r="AR430" s="1006"/>
      <c r="AS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c r="AA431" s="1006"/>
      <c r="AB431" s="1006"/>
      <c r="AC431" s="1006"/>
      <c r="AD431" s="1006"/>
      <c r="AE431" s="1006"/>
      <c r="AF431" s="1006"/>
      <c r="AG431" s="1006"/>
      <c r="AH431" s="1006"/>
      <c r="AI431" s="1006"/>
      <c r="AJ431" s="1006"/>
      <c r="AK431" s="1006"/>
      <c r="AL431" s="1006"/>
      <c r="AM431" s="1006"/>
      <c r="AN431" s="1006"/>
      <c r="AO431" s="1006"/>
      <c r="AP431" s="1006"/>
      <c r="AQ431" s="1006"/>
      <c r="AR431" s="1006"/>
      <c r="AS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c r="AA432" s="1006"/>
      <c r="AB432" s="1006"/>
      <c r="AC432" s="1006"/>
      <c r="AD432" s="1006"/>
      <c r="AE432" s="1006"/>
      <c r="AF432" s="1006"/>
      <c r="AG432" s="1006"/>
      <c r="AH432" s="1006"/>
      <c r="AI432" s="1006"/>
      <c r="AJ432" s="1006"/>
      <c r="AK432" s="1006"/>
      <c r="AL432" s="1006"/>
      <c r="AM432" s="1006"/>
      <c r="AN432" s="1006"/>
      <c r="AO432" s="1006"/>
      <c r="AP432" s="1006"/>
      <c r="AQ432" s="1006"/>
      <c r="AR432" s="1006"/>
      <c r="AS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c r="AA433" s="1006"/>
      <c r="AB433" s="1006"/>
      <c r="AC433" s="1006"/>
      <c r="AD433" s="1006"/>
      <c r="AE433" s="1006"/>
      <c r="AF433" s="1006"/>
      <c r="AG433" s="1006"/>
      <c r="AH433" s="1006"/>
      <c r="AI433" s="1006"/>
      <c r="AJ433" s="1006"/>
      <c r="AK433" s="1006"/>
      <c r="AL433" s="1006"/>
      <c r="AM433" s="1006"/>
      <c r="AN433" s="1006"/>
      <c r="AO433" s="1006"/>
      <c r="AP433" s="1006"/>
      <c r="AQ433" s="1006"/>
      <c r="AR433" s="1006"/>
      <c r="AS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c r="AA434" s="1006"/>
      <c r="AB434" s="1006"/>
      <c r="AC434" s="1006"/>
      <c r="AD434" s="1006"/>
      <c r="AE434" s="1006"/>
      <c r="AF434" s="1006"/>
      <c r="AG434" s="1006"/>
      <c r="AH434" s="1006"/>
      <c r="AI434" s="1006"/>
      <c r="AJ434" s="1006"/>
      <c r="AK434" s="1006"/>
      <c r="AL434" s="1006"/>
      <c r="AM434" s="1006"/>
      <c r="AN434" s="1006"/>
      <c r="AO434" s="1006"/>
      <c r="AP434" s="1006"/>
      <c r="AQ434" s="1006"/>
      <c r="AR434" s="1006"/>
      <c r="AS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c r="AA435" s="1006"/>
      <c r="AB435" s="1006"/>
      <c r="AC435" s="1006"/>
      <c r="AD435" s="1006"/>
      <c r="AE435" s="1006"/>
      <c r="AF435" s="1006"/>
      <c r="AG435" s="1006"/>
      <c r="AH435" s="1006"/>
      <c r="AI435" s="1006"/>
      <c r="AJ435" s="1006"/>
      <c r="AK435" s="1006"/>
      <c r="AL435" s="1006"/>
      <c r="AM435" s="1006"/>
      <c r="AN435" s="1006"/>
      <c r="AO435" s="1006"/>
      <c r="AP435" s="1006"/>
      <c r="AQ435" s="1006"/>
      <c r="AR435" s="1006"/>
      <c r="AS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c r="AA436" s="1006"/>
      <c r="AB436" s="1006"/>
      <c r="AC436" s="1006"/>
      <c r="AD436" s="1006"/>
      <c r="AE436" s="1006"/>
      <c r="AF436" s="1006"/>
      <c r="AG436" s="1006"/>
      <c r="AH436" s="1006"/>
      <c r="AI436" s="1006"/>
      <c r="AJ436" s="1006"/>
      <c r="AK436" s="1006"/>
      <c r="AL436" s="1006"/>
      <c r="AM436" s="1006"/>
      <c r="AN436" s="1006"/>
      <c r="AO436" s="1006"/>
      <c r="AP436" s="1006"/>
      <c r="AQ436" s="1006"/>
      <c r="AR436" s="1006"/>
      <c r="AS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c r="AA437" s="1006"/>
      <c r="AB437" s="1006"/>
      <c r="AC437" s="1006"/>
      <c r="AD437" s="1006"/>
      <c r="AE437" s="1006"/>
      <c r="AF437" s="1006"/>
      <c r="AG437" s="1006"/>
      <c r="AH437" s="1006"/>
      <c r="AI437" s="1006"/>
      <c r="AJ437" s="1006"/>
      <c r="AK437" s="1006"/>
      <c r="AL437" s="1006"/>
      <c r="AM437" s="1006"/>
      <c r="AN437" s="1006"/>
      <c r="AO437" s="1006"/>
      <c r="AP437" s="1006"/>
      <c r="AQ437" s="1006"/>
      <c r="AR437" s="1006"/>
      <c r="AS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c r="AA438" s="1006"/>
      <c r="AB438" s="1006"/>
      <c r="AC438" s="1006"/>
      <c r="AD438" s="1006"/>
      <c r="AE438" s="1006"/>
      <c r="AF438" s="1006"/>
      <c r="AG438" s="1006"/>
      <c r="AH438" s="1006"/>
      <c r="AI438" s="1006"/>
      <c r="AJ438" s="1006"/>
      <c r="AK438" s="1006"/>
      <c r="AL438" s="1006"/>
      <c r="AM438" s="1006"/>
      <c r="AN438" s="1006"/>
      <c r="AO438" s="1006"/>
      <c r="AP438" s="1006"/>
      <c r="AQ438" s="1006"/>
      <c r="AR438" s="1006"/>
      <c r="AS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c r="AA439" s="1006"/>
      <c r="AB439" s="1006"/>
      <c r="AC439" s="1006"/>
      <c r="AD439" s="1006"/>
      <c r="AE439" s="1006"/>
      <c r="AF439" s="1006"/>
      <c r="AG439" s="1006"/>
      <c r="AH439" s="1006"/>
      <c r="AI439" s="1006"/>
      <c r="AJ439" s="1006"/>
      <c r="AK439" s="1006"/>
      <c r="AL439" s="1006"/>
      <c r="AM439" s="1006"/>
      <c r="AN439" s="1006"/>
      <c r="AO439" s="1006"/>
      <c r="AP439" s="1006"/>
      <c r="AQ439" s="1006"/>
      <c r="AR439" s="1006"/>
      <c r="AS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c r="AA440" s="1006"/>
      <c r="AB440" s="1006"/>
      <c r="AC440" s="1006"/>
      <c r="AD440" s="1006"/>
      <c r="AE440" s="1006"/>
      <c r="AF440" s="1006"/>
      <c r="AG440" s="1006"/>
      <c r="AH440" s="1006"/>
      <c r="AI440" s="1006"/>
      <c r="AJ440" s="1006"/>
      <c r="AK440" s="1006"/>
      <c r="AL440" s="1006"/>
      <c r="AM440" s="1006"/>
      <c r="AN440" s="1006"/>
      <c r="AO440" s="1006"/>
      <c r="AP440" s="1006"/>
      <c r="AQ440" s="1006"/>
      <c r="AR440" s="1006"/>
      <c r="AS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c r="AA441" s="1006"/>
      <c r="AB441" s="1006"/>
      <c r="AC441" s="1006"/>
      <c r="AD441" s="1006"/>
      <c r="AE441" s="1006"/>
      <c r="AF441" s="1006"/>
      <c r="AG441" s="1006"/>
      <c r="AH441" s="1006"/>
      <c r="AI441" s="1006"/>
      <c r="AJ441" s="1006"/>
      <c r="AK441" s="1006"/>
      <c r="AL441" s="1006"/>
      <c r="AM441" s="1006"/>
      <c r="AN441" s="1006"/>
      <c r="AO441" s="1006"/>
      <c r="AP441" s="1006"/>
      <c r="AQ441" s="1006"/>
      <c r="AR441" s="1006"/>
      <c r="AS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c r="AA442" s="1006"/>
      <c r="AB442" s="1006"/>
      <c r="AC442" s="1006"/>
      <c r="AD442" s="1006"/>
      <c r="AE442" s="1006"/>
      <c r="AF442" s="1006"/>
      <c r="AG442" s="1006"/>
      <c r="AH442" s="1006"/>
      <c r="AI442" s="1006"/>
      <c r="AJ442" s="1006"/>
      <c r="AK442" s="1006"/>
      <c r="AL442" s="1006"/>
      <c r="AM442" s="1006"/>
      <c r="AN442" s="1006"/>
      <c r="AO442" s="1006"/>
      <c r="AP442" s="1006"/>
      <c r="AQ442" s="1006"/>
      <c r="AR442" s="1006"/>
      <c r="AS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c r="AA443" s="1006"/>
      <c r="AB443" s="1006"/>
      <c r="AC443" s="1006"/>
      <c r="AD443" s="1006"/>
      <c r="AE443" s="1006"/>
      <c r="AF443" s="1006"/>
      <c r="AG443" s="1006"/>
      <c r="AH443" s="1006"/>
      <c r="AI443" s="1006"/>
      <c r="AJ443" s="1006"/>
      <c r="AK443" s="1006"/>
      <c r="AL443" s="1006"/>
      <c r="AM443" s="1006"/>
      <c r="AN443" s="1006"/>
      <c r="AO443" s="1006"/>
      <c r="AP443" s="1006"/>
      <c r="AQ443" s="1006"/>
      <c r="AR443" s="1006"/>
      <c r="AS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c r="AA444" s="1006"/>
      <c r="AB444" s="1006"/>
      <c r="AC444" s="1006"/>
      <c r="AD444" s="1006"/>
      <c r="AE444" s="1006"/>
      <c r="AF444" s="1006"/>
      <c r="AG444" s="1006"/>
      <c r="AH444" s="1006"/>
      <c r="AI444" s="1006"/>
      <c r="AJ444" s="1006"/>
      <c r="AK444" s="1006"/>
      <c r="AL444" s="1006"/>
      <c r="AM444" s="1006"/>
      <c r="AN444" s="1006"/>
      <c r="AO444" s="1006"/>
      <c r="AP444" s="1006"/>
      <c r="AQ444" s="1006"/>
      <c r="AR444" s="1006"/>
      <c r="AS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c r="AA445" s="1006"/>
      <c r="AB445" s="1006"/>
      <c r="AC445" s="1006"/>
      <c r="AD445" s="1006"/>
      <c r="AE445" s="1006"/>
      <c r="AF445" s="1006"/>
      <c r="AG445" s="1006"/>
      <c r="AH445" s="1006"/>
      <c r="AI445" s="1006"/>
      <c r="AJ445" s="1006"/>
      <c r="AK445" s="1006"/>
      <c r="AL445" s="1006"/>
      <c r="AM445" s="1006"/>
      <c r="AN445" s="1006"/>
      <c r="AO445" s="1006"/>
      <c r="AP445" s="1006"/>
      <c r="AQ445" s="1006"/>
      <c r="AR445" s="1006"/>
      <c r="AS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c r="AA446" s="1006"/>
      <c r="AB446" s="1006"/>
      <c r="AC446" s="1006"/>
      <c r="AD446" s="1006"/>
      <c r="AE446" s="1006"/>
      <c r="AF446" s="1006"/>
      <c r="AG446" s="1006"/>
      <c r="AH446" s="1006"/>
      <c r="AI446" s="1006"/>
      <c r="AJ446" s="1006"/>
      <c r="AK446" s="1006"/>
      <c r="AL446" s="1006"/>
      <c r="AM446" s="1006"/>
      <c r="AN446" s="1006"/>
      <c r="AO446" s="1006"/>
      <c r="AP446" s="1006"/>
      <c r="AQ446" s="1006"/>
      <c r="AR446" s="1006"/>
      <c r="AS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c r="AA447" s="1006"/>
      <c r="AB447" s="1006"/>
      <c r="AC447" s="1006"/>
      <c r="AD447" s="1006"/>
      <c r="AE447" s="1006"/>
      <c r="AF447" s="1006"/>
      <c r="AG447" s="1006"/>
      <c r="AH447" s="1006"/>
      <c r="AI447" s="1006"/>
      <c r="AJ447" s="1006"/>
      <c r="AK447" s="1006"/>
      <c r="AL447" s="1006"/>
      <c r="AM447" s="1006"/>
      <c r="AN447" s="1006"/>
      <c r="AO447" s="1006"/>
      <c r="AP447" s="1006"/>
      <c r="AQ447" s="1006"/>
      <c r="AR447" s="1006"/>
      <c r="AS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c r="AA448" s="1006"/>
      <c r="AB448" s="1006"/>
      <c r="AC448" s="1006"/>
      <c r="AD448" s="1006"/>
      <c r="AE448" s="1006"/>
      <c r="AF448" s="1006"/>
      <c r="AG448" s="1006"/>
      <c r="AH448" s="1006"/>
      <c r="AI448" s="1006"/>
      <c r="AJ448" s="1006"/>
      <c r="AK448" s="1006"/>
      <c r="AL448" s="1006"/>
      <c r="AM448" s="1006"/>
      <c r="AN448" s="1006"/>
      <c r="AO448" s="1006"/>
      <c r="AP448" s="1006"/>
      <c r="AQ448" s="1006"/>
      <c r="AR448" s="1006"/>
      <c r="AS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c r="AA449" s="1006"/>
      <c r="AB449" s="1006"/>
      <c r="AC449" s="1006"/>
      <c r="AD449" s="1006"/>
      <c r="AE449" s="1006"/>
      <c r="AF449" s="1006"/>
      <c r="AG449" s="1006"/>
      <c r="AH449" s="1006"/>
      <c r="AI449" s="1006"/>
      <c r="AJ449" s="1006"/>
      <c r="AK449" s="1006"/>
      <c r="AL449" s="1006"/>
      <c r="AM449" s="1006"/>
      <c r="AN449" s="1006"/>
      <c r="AO449" s="1006"/>
      <c r="AP449" s="1006"/>
      <c r="AQ449" s="1006"/>
      <c r="AR449" s="1006"/>
      <c r="AS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c r="AA450" s="1006"/>
      <c r="AB450" s="1006"/>
      <c r="AC450" s="1006"/>
      <c r="AD450" s="1006"/>
      <c r="AE450" s="1006"/>
      <c r="AF450" s="1006"/>
      <c r="AG450" s="1006"/>
      <c r="AH450" s="1006"/>
      <c r="AI450" s="1006"/>
      <c r="AJ450" s="1006"/>
      <c r="AK450" s="1006"/>
      <c r="AL450" s="1006"/>
      <c r="AM450" s="1006"/>
      <c r="AN450" s="1006"/>
      <c r="AO450" s="1006"/>
      <c r="AP450" s="1006"/>
      <c r="AQ450" s="1006"/>
      <c r="AR450" s="1006"/>
      <c r="AS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c r="AA451" s="1006"/>
      <c r="AB451" s="1006"/>
      <c r="AC451" s="1006"/>
      <c r="AD451" s="1006"/>
      <c r="AE451" s="1006"/>
      <c r="AF451" s="1006"/>
      <c r="AG451" s="1006"/>
      <c r="AH451" s="1006"/>
      <c r="AI451" s="1006"/>
      <c r="AJ451" s="1006"/>
      <c r="AK451" s="1006"/>
      <c r="AL451" s="1006"/>
      <c r="AM451" s="1006"/>
      <c r="AN451" s="1006"/>
      <c r="AO451" s="1006"/>
      <c r="AP451" s="1006"/>
      <c r="AQ451" s="1006"/>
      <c r="AR451" s="1006"/>
      <c r="AS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c r="AA452" s="1006"/>
      <c r="AB452" s="1006"/>
      <c r="AC452" s="1006"/>
      <c r="AD452" s="1006"/>
      <c r="AE452" s="1006"/>
      <c r="AF452" s="1006"/>
      <c r="AG452" s="1006"/>
      <c r="AH452" s="1006"/>
      <c r="AI452" s="1006"/>
      <c r="AJ452" s="1006"/>
      <c r="AK452" s="1006"/>
      <c r="AL452" s="1006"/>
      <c r="AM452" s="1006"/>
      <c r="AN452" s="1006"/>
      <c r="AO452" s="1006"/>
      <c r="AP452" s="1006"/>
      <c r="AQ452" s="1006"/>
      <c r="AR452" s="1006"/>
      <c r="AS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c r="AA453" s="1006"/>
      <c r="AB453" s="1006"/>
      <c r="AC453" s="1006"/>
      <c r="AD453" s="1006"/>
      <c r="AE453" s="1006"/>
      <c r="AF453" s="1006"/>
      <c r="AG453" s="1006"/>
      <c r="AH453" s="1006"/>
      <c r="AI453" s="1006"/>
      <c r="AJ453" s="1006"/>
      <c r="AK453" s="1006"/>
      <c r="AL453" s="1006"/>
      <c r="AM453" s="1006"/>
      <c r="AN453" s="1006"/>
      <c r="AO453" s="1006"/>
      <c r="AP453" s="1006"/>
      <c r="AQ453" s="1006"/>
      <c r="AR453" s="1006"/>
      <c r="AS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c r="AA454" s="1006"/>
      <c r="AB454" s="1006"/>
      <c r="AC454" s="1006"/>
      <c r="AD454" s="1006"/>
      <c r="AE454" s="1006"/>
      <c r="AF454" s="1006"/>
      <c r="AG454" s="1006"/>
      <c r="AH454" s="1006"/>
      <c r="AI454" s="1006"/>
      <c r="AJ454" s="1006"/>
      <c r="AK454" s="1006"/>
      <c r="AL454" s="1006"/>
      <c r="AM454" s="1006"/>
      <c r="AN454" s="1006"/>
      <c r="AO454" s="1006"/>
      <c r="AP454" s="1006"/>
      <c r="AQ454" s="1006"/>
      <c r="AR454" s="1006"/>
      <c r="AS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c r="AA455" s="1006"/>
      <c r="AB455" s="1006"/>
      <c r="AC455" s="1006"/>
      <c r="AD455" s="1006"/>
      <c r="AE455" s="1006"/>
      <c r="AF455" s="1006"/>
      <c r="AG455" s="1006"/>
      <c r="AH455" s="1006"/>
      <c r="AI455" s="1006"/>
      <c r="AJ455" s="1006"/>
      <c r="AK455" s="1006"/>
      <c r="AL455" s="1006"/>
      <c r="AM455" s="1006"/>
      <c r="AN455" s="1006"/>
      <c r="AO455" s="1006"/>
      <c r="AP455" s="1006"/>
      <c r="AQ455" s="1006"/>
      <c r="AR455" s="1006"/>
      <c r="AS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c r="AA456" s="1006"/>
      <c r="AB456" s="1006"/>
      <c r="AC456" s="1006"/>
      <c r="AD456" s="1006"/>
      <c r="AE456" s="1006"/>
      <c r="AF456" s="1006"/>
      <c r="AG456" s="1006"/>
      <c r="AH456" s="1006"/>
      <c r="AI456" s="1006"/>
      <c r="AJ456" s="1006"/>
      <c r="AK456" s="1006"/>
      <c r="AL456" s="1006"/>
      <c r="AM456" s="1006"/>
      <c r="AN456" s="1006"/>
      <c r="AO456" s="1006"/>
      <c r="AP456" s="1006"/>
      <c r="AQ456" s="1006"/>
      <c r="AR456" s="1006"/>
      <c r="AS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c r="AA457" s="1006"/>
      <c r="AB457" s="1006"/>
      <c r="AC457" s="1006"/>
      <c r="AD457" s="1006"/>
      <c r="AE457" s="1006"/>
      <c r="AF457" s="1006"/>
      <c r="AG457" s="1006"/>
      <c r="AH457" s="1006"/>
      <c r="AI457" s="1006"/>
      <c r="AJ457" s="1006"/>
      <c r="AK457" s="1006"/>
      <c r="AL457" s="1006"/>
      <c r="AM457" s="1006"/>
      <c r="AN457" s="1006"/>
      <c r="AO457" s="1006"/>
      <c r="AP457" s="1006"/>
      <c r="AQ457" s="1006"/>
      <c r="AR457" s="1006"/>
      <c r="AS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c r="AA458" s="1006"/>
      <c r="AB458" s="1006"/>
      <c r="AC458" s="1006"/>
      <c r="AD458" s="1006"/>
      <c r="AE458" s="1006"/>
      <c r="AF458" s="1006"/>
      <c r="AG458" s="1006"/>
      <c r="AH458" s="1006"/>
      <c r="AI458" s="1006"/>
      <c r="AJ458" s="1006"/>
      <c r="AK458" s="1006"/>
      <c r="AL458" s="1006"/>
      <c r="AM458" s="1006"/>
      <c r="AN458" s="1006"/>
      <c r="AO458" s="1006"/>
      <c r="AP458" s="1006"/>
      <c r="AQ458" s="1006"/>
      <c r="AR458" s="1006"/>
      <c r="AS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c r="AA459" s="1006"/>
      <c r="AB459" s="1006"/>
      <c r="AC459" s="1006"/>
      <c r="AD459" s="1006"/>
      <c r="AE459" s="1006"/>
      <c r="AF459" s="1006"/>
      <c r="AG459" s="1006"/>
      <c r="AH459" s="1006"/>
      <c r="AI459" s="1006"/>
      <c r="AJ459" s="1006"/>
      <c r="AK459" s="1006"/>
      <c r="AL459" s="1006"/>
      <c r="AM459" s="1006"/>
      <c r="AN459" s="1006"/>
      <c r="AO459" s="1006"/>
      <c r="AP459" s="1006"/>
      <c r="AQ459" s="1006"/>
      <c r="AR459" s="1006"/>
      <c r="AS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c r="AA460" s="1006"/>
      <c r="AB460" s="1006"/>
      <c r="AC460" s="1006"/>
      <c r="AD460" s="1006"/>
      <c r="AE460" s="1006"/>
      <c r="AF460" s="1006"/>
      <c r="AG460" s="1006"/>
      <c r="AH460" s="1006"/>
      <c r="AI460" s="1006"/>
      <c r="AJ460" s="1006"/>
      <c r="AK460" s="1006"/>
      <c r="AL460" s="1006"/>
      <c r="AM460" s="1006"/>
      <c r="AN460" s="1006"/>
      <c r="AO460" s="1006"/>
      <c r="AP460" s="1006"/>
      <c r="AQ460" s="1006"/>
      <c r="AR460" s="1006"/>
      <c r="AS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c r="AA461" s="1006"/>
      <c r="AB461" s="1006"/>
      <c r="AC461" s="1006"/>
      <c r="AD461" s="1006"/>
      <c r="AE461" s="1006"/>
      <c r="AF461" s="1006"/>
      <c r="AG461" s="1006"/>
      <c r="AH461" s="1006"/>
      <c r="AI461" s="1006"/>
      <c r="AJ461" s="1006"/>
      <c r="AK461" s="1006"/>
      <c r="AL461" s="1006"/>
      <c r="AM461" s="1006"/>
      <c r="AN461" s="1006"/>
      <c r="AO461" s="1006"/>
      <c r="AP461" s="1006"/>
      <c r="AQ461" s="1006"/>
      <c r="AR461" s="1006"/>
      <c r="AS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c r="AA462" s="1006"/>
      <c r="AB462" s="1006"/>
      <c r="AC462" s="1006"/>
      <c r="AD462" s="1006"/>
      <c r="AE462" s="1006"/>
      <c r="AF462" s="1006"/>
      <c r="AG462" s="1006"/>
      <c r="AH462" s="1006"/>
      <c r="AI462" s="1006"/>
      <c r="AJ462" s="1006"/>
      <c r="AK462" s="1006"/>
      <c r="AL462" s="1006"/>
      <c r="AM462" s="1006"/>
      <c r="AN462" s="1006"/>
      <c r="AO462" s="1006"/>
      <c r="AP462" s="1006"/>
      <c r="AQ462" s="1006"/>
      <c r="AR462" s="1006"/>
      <c r="AS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c r="AA463" s="1006"/>
      <c r="AB463" s="1006"/>
      <c r="AC463" s="1006"/>
      <c r="AD463" s="1006"/>
      <c r="AE463" s="1006"/>
      <c r="AF463" s="1006"/>
      <c r="AG463" s="1006"/>
      <c r="AH463" s="1006"/>
      <c r="AI463" s="1006"/>
      <c r="AJ463" s="1006"/>
      <c r="AK463" s="1006"/>
      <c r="AL463" s="1006"/>
      <c r="AM463" s="1006"/>
      <c r="AN463" s="1006"/>
      <c r="AO463" s="1006"/>
      <c r="AP463" s="1006"/>
      <c r="AQ463" s="1006"/>
      <c r="AR463" s="1006"/>
      <c r="AS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c r="AA464" s="1006"/>
      <c r="AB464" s="1006"/>
      <c r="AC464" s="1006"/>
      <c r="AD464" s="1006"/>
      <c r="AE464" s="1006"/>
      <c r="AF464" s="1006"/>
      <c r="AG464" s="1006"/>
      <c r="AH464" s="1006"/>
      <c r="AI464" s="1006"/>
      <c r="AJ464" s="1006"/>
      <c r="AK464" s="1006"/>
      <c r="AL464" s="1006"/>
      <c r="AM464" s="1006"/>
      <c r="AN464" s="1006"/>
      <c r="AO464" s="1006"/>
      <c r="AP464" s="1006"/>
      <c r="AQ464" s="1006"/>
      <c r="AR464" s="1006"/>
      <c r="AS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c r="AA465" s="1006"/>
      <c r="AB465" s="1006"/>
      <c r="AC465" s="1006"/>
      <c r="AD465" s="1006"/>
      <c r="AE465" s="1006"/>
      <c r="AF465" s="1006"/>
      <c r="AG465" s="1006"/>
      <c r="AH465" s="1006"/>
      <c r="AI465" s="1006"/>
      <c r="AJ465" s="1006"/>
      <c r="AK465" s="1006"/>
      <c r="AL465" s="1006"/>
      <c r="AM465" s="1006"/>
      <c r="AN465" s="1006"/>
      <c r="AO465" s="1006"/>
      <c r="AP465" s="1006"/>
      <c r="AQ465" s="1006"/>
      <c r="AR465" s="1006"/>
      <c r="AS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c r="AA466" s="1006"/>
      <c r="AB466" s="1006"/>
      <c r="AC466" s="1006"/>
      <c r="AD466" s="1006"/>
      <c r="AE466" s="1006"/>
      <c r="AF466" s="1006"/>
      <c r="AG466" s="1006"/>
      <c r="AH466" s="1006"/>
      <c r="AI466" s="1006"/>
      <c r="AJ466" s="1006"/>
      <c r="AK466" s="1006"/>
      <c r="AL466" s="1006"/>
      <c r="AM466" s="1006"/>
      <c r="AN466" s="1006"/>
      <c r="AO466" s="1006"/>
      <c r="AP466" s="1006"/>
      <c r="AQ466" s="1006"/>
      <c r="AR466" s="1006"/>
      <c r="AS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c r="AA467" s="1006"/>
      <c r="AB467" s="1006"/>
      <c r="AC467" s="1006"/>
      <c r="AD467" s="1006"/>
      <c r="AE467" s="1006"/>
      <c r="AF467" s="1006"/>
      <c r="AG467" s="1006"/>
      <c r="AH467" s="1006"/>
      <c r="AI467" s="1006"/>
      <c r="AJ467" s="1006"/>
      <c r="AK467" s="1006"/>
      <c r="AL467" s="1006"/>
      <c r="AM467" s="1006"/>
      <c r="AN467" s="1006"/>
      <c r="AO467" s="1006"/>
      <c r="AP467" s="1006"/>
      <c r="AQ467" s="1006"/>
      <c r="AR467" s="1006"/>
      <c r="AS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c r="AA468" s="1006"/>
      <c r="AB468" s="1006"/>
      <c r="AC468" s="1006"/>
      <c r="AD468" s="1006"/>
      <c r="AE468" s="1006"/>
      <c r="AF468" s="1006"/>
      <c r="AG468" s="1006"/>
      <c r="AH468" s="1006"/>
      <c r="AI468" s="1006"/>
      <c r="AJ468" s="1006"/>
      <c r="AK468" s="1006"/>
      <c r="AL468" s="1006"/>
      <c r="AM468" s="1006"/>
      <c r="AN468" s="1006"/>
      <c r="AO468" s="1006"/>
      <c r="AP468" s="1006"/>
      <c r="AQ468" s="1006"/>
      <c r="AR468" s="1006"/>
      <c r="AS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c r="AA469" s="1006"/>
      <c r="AB469" s="1006"/>
      <c r="AC469" s="1006"/>
      <c r="AD469" s="1006"/>
      <c r="AE469" s="1006"/>
      <c r="AF469" s="1006"/>
      <c r="AG469" s="1006"/>
      <c r="AH469" s="1006"/>
      <c r="AI469" s="1006"/>
      <c r="AJ469" s="1006"/>
      <c r="AK469" s="1006"/>
      <c r="AL469" s="1006"/>
      <c r="AM469" s="1006"/>
      <c r="AN469" s="1006"/>
      <c r="AO469" s="1006"/>
      <c r="AP469" s="1006"/>
      <c r="AQ469" s="1006"/>
      <c r="AR469" s="1006"/>
      <c r="AS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c r="AA470" s="1006"/>
      <c r="AB470" s="1006"/>
      <c r="AC470" s="1006"/>
      <c r="AD470" s="1006"/>
      <c r="AE470" s="1006"/>
      <c r="AF470" s="1006"/>
      <c r="AG470" s="1006"/>
      <c r="AH470" s="1006"/>
      <c r="AI470" s="1006"/>
      <c r="AJ470" s="1006"/>
      <c r="AK470" s="1006"/>
      <c r="AL470" s="1006"/>
      <c r="AM470" s="1006"/>
      <c r="AN470" s="1006"/>
      <c r="AO470" s="1006"/>
      <c r="AP470" s="1006"/>
      <c r="AQ470" s="1006"/>
      <c r="AR470" s="1006"/>
      <c r="AS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c r="AA471" s="1006"/>
      <c r="AB471" s="1006"/>
      <c r="AC471" s="1006"/>
      <c r="AD471" s="1006"/>
      <c r="AE471" s="1006"/>
      <c r="AF471" s="1006"/>
      <c r="AG471" s="1006"/>
      <c r="AH471" s="1006"/>
      <c r="AI471" s="1006"/>
      <c r="AJ471" s="1006"/>
      <c r="AK471" s="1006"/>
      <c r="AL471" s="1006"/>
      <c r="AM471" s="1006"/>
      <c r="AN471" s="1006"/>
      <c r="AO471" s="1006"/>
      <c r="AP471" s="1006"/>
      <c r="AQ471" s="1006"/>
      <c r="AR471" s="1006"/>
      <c r="AS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c r="AA472" s="1006"/>
      <c r="AB472" s="1006"/>
      <c r="AC472" s="1006"/>
      <c r="AD472" s="1006"/>
      <c r="AE472" s="1006"/>
      <c r="AF472" s="1006"/>
      <c r="AG472" s="1006"/>
      <c r="AH472" s="1006"/>
      <c r="AI472" s="1006"/>
      <c r="AJ472" s="1006"/>
      <c r="AK472" s="1006"/>
      <c r="AL472" s="1006"/>
      <c r="AM472" s="1006"/>
      <c r="AN472" s="1006"/>
      <c r="AO472" s="1006"/>
      <c r="AP472" s="1006"/>
      <c r="AQ472" s="1006"/>
      <c r="AR472" s="1006"/>
      <c r="AS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c r="AA473" s="1006"/>
      <c r="AB473" s="1006"/>
      <c r="AC473" s="1006"/>
      <c r="AD473" s="1006"/>
      <c r="AE473" s="1006"/>
      <c r="AF473" s="1006"/>
      <c r="AG473" s="1006"/>
      <c r="AH473" s="1006"/>
      <c r="AI473" s="1006"/>
      <c r="AJ473" s="1006"/>
      <c r="AK473" s="1006"/>
      <c r="AL473" s="1006"/>
      <c r="AM473" s="1006"/>
      <c r="AN473" s="1006"/>
      <c r="AO473" s="1006"/>
      <c r="AP473" s="1006"/>
      <c r="AQ473" s="1006"/>
      <c r="AR473" s="1006"/>
      <c r="AS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c r="AA474" s="1006"/>
      <c r="AB474" s="1006"/>
      <c r="AC474" s="1006"/>
      <c r="AD474" s="1006"/>
      <c r="AE474" s="1006"/>
      <c r="AF474" s="1006"/>
      <c r="AG474" s="1006"/>
      <c r="AH474" s="1006"/>
      <c r="AI474" s="1006"/>
      <c r="AJ474" s="1006"/>
      <c r="AK474" s="1006"/>
      <c r="AL474" s="1006"/>
      <c r="AM474" s="1006"/>
      <c r="AN474" s="1006"/>
      <c r="AO474" s="1006"/>
      <c r="AP474" s="1006"/>
      <c r="AQ474" s="1006"/>
      <c r="AR474" s="1006"/>
      <c r="AS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c r="AA475" s="1006"/>
      <c r="AB475" s="1006"/>
      <c r="AC475" s="1006"/>
      <c r="AD475" s="1006"/>
      <c r="AE475" s="1006"/>
      <c r="AF475" s="1006"/>
      <c r="AG475" s="1006"/>
      <c r="AH475" s="1006"/>
      <c r="AI475" s="1006"/>
      <c r="AJ475" s="1006"/>
      <c r="AK475" s="1006"/>
      <c r="AL475" s="1006"/>
      <c r="AM475" s="1006"/>
      <c r="AN475" s="1006"/>
      <c r="AO475" s="1006"/>
      <c r="AP475" s="1006"/>
      <c r="AQ475" s="1006"/>
      <c r="AR475" s="1006"/>
      <c r="AS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c r="AA476" s="1006"/>
      <c r="AB476" s="1006"/>
      <c r="AC476" s="1006"/>
      <c r="AD476" s="1006"/>
      <c r="AE476" s="1006"/>
      <c r="AF476" s="1006"/>
      <c r="AG476" s="1006"/>
      <c r="AH476" s="1006"/>
      <c r="AI476" s="1006"/>
      <c r="AJ476" s="1006"/>
      <c r="AK476" s="1006"/>
      <c r="AL476" s="1006"/>
      <c r="AM476" s="1006"/>
      <c r="AN476" s="1006"/>
      <c r="AO476" s="1006"/>
      <c r="AP476" s="1006"/>
      <c r="AQ476" s="1006"/>
      <c r="AR476" s="1006"/>
      <c r="AS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c r="AA477" s="1006"/>
      <c r="AB477" s="1006"/>
      <c r="AC477" s="1006"/>
      <c r="AD477" s="1006"/>
      <c r="AE477" s="1006"/>
      <c r="AF477" s="1006"/>
      <c r="AG477" s="1006"/>
      <c r="AH477" s="1006"/>
      <c r="AI477" s="1006"/>
      <c r="AJ477" s="1006"/>
      <c r="AK477" s="1006"/>
      <c r="AL477" s="1006"/>
      <c r="AM477" s="1006"/>
      <c r="AN477" s="1006"/>
      <c r="AO477" s="1006"/>
      <c r="AP477" s="1006"/>
      <c r="AQ477" s="1006"/>
      <c r="AR477" s="1006"/>
      <c r="AS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c r="AA478" s="1006"/>
      <c r="AB478" s="1006"/>
      <c r="AC478" s="1006"/>
      <c r="AD478" s="1006"/>
      <c r="AE478" s="1006"/>
      <c r="AF478" s="1006"/>
      <c r="AG478" s="1006"/>
      <c r="AH478" s="1006"/>
      <c r="AI478" s="1006"/>
      <c r="AJ478" s="1006"/>
      <c r="AK478" s="1006"/>
      <c r="AL478" s="1006"/>
      <c r="AM478" s="1006"/>
      <c r="AN478" s="1006"/>
      <c r="AO478" s="1006"/>
      <c r="AP478" s="1006"/>
      <c r="AQ478" s="1006"/>
      <c r="AR478" s="1006"/>
      <c r="AS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c r="AA479" s="1006"/>
      <c r="AB479" s="1006"/>
      <c r="AC479" s="1006"/>
      <c r="AD479" s="1006"/>
      <c r="AE479" s="1006"/>
      <c r="AF479" s="1006"/>
      <c r="AG479" s="1006"/>
      <c r="AH479" s="1006"/>
      <c r="AI479" s="1006"/>
      <c r="AJ479" s="1006"/>
      <c r="AK479" s="1006"/>
      <c r="AL479" s="1006"/>
      <c r="AM479" s="1006"/>
      <c r="AN479" s="1006"/>
      <c r="AO479" s="1006"/>
      <c r="AP479" s="1006"/>
      <c r="AQ479" s="1006"/>
      <c r="AR479" s="1006"/>
      <c r="AS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c r="AA480" s="1006"/>
      <c r="AB480" s="1006"/>
      <c r="AC480" s="1006"/>
      <c r="AD480" s="1006"/>
      <c r="AE480" s="1006"/>
      <c r="AF480" s="1006"/>
      <c r="AG480" s="1006"/>
      <c r="AH480" s="1006"/>
      <c r="AI480" s="1006"/>
      <c r="AJ480" s="1006"/>
      <c r="AK480" s="1006"/>
      <c r="AL480" s="1006"/>
      <c r="AM480" s="1006"/>
      <c r="AN480" s="1006"/>
      <c r="AO480" s="1006"/>
      <c r="AP480" s="1006"/>
      <c r="AQ480" s="1006"/>
      <c r="AR480" s="1006"/>
      <c r="AS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c r="AA481" s="1006"/>
      <c r="AB481" s="1006"/>
      <c r="AC481" s="1006"/>
      <c r="AD481" s="1006"/>
      <c r="AE481" s="1006"/>
      <c r="AF481" s="1006"/>
      <c r="AG481" s="1006"/>
      <c r="AH481" s="1006"/>
      <c r="AI481" s="1006"/>
      <c r="AJ481" s="1006"/>
      <c r="AK481" s="1006"/>
      <c r="AL481" s="1006"/>
      <c r="AM481" s="1006"/>
      <c r="AN481" s="1006"/>
      <c r="AO481" s="1006"/>
      <c r="AP481" s="1006"/>
      <c r="AQ481" s="1006"/>
      <c r="AR481" s="1006"/>
      <c r="AS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c r="AA482" s="1006"/>
      <c r="AB482" s="1006"/>
      <c r="AC482" s="1006"/>
      <c r="AD482" s="1006"/>
      <c r="AE482" s="1006"/>
      <c r="AF482" s="1006"/>
      <c r="AG482" s="1006"/>
      <c r="AH482" s="1006"/>
      <c r="AI482" s="1006"/>
      <c r="AJ482" s="1006"/>
      <c r="AK482" s="1006"/>
      <c r="AL482" s="1006"/>
      <c r="AM482" s="1006"/>
      <c r="AN482" s="1006"/>
      <c r="AO482" s="1006"/>
      <c r="AP482" s="1006"/>
      <c r="AQ482" s="1006"/>
      <c r="AR482" s="1006"/>
      <c r="AS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c r="AA483" s="1006"/>
      <c r="AB483" s="1006"/>
      <c r="AC483" s="1006"/>
      <c r="AD483" s="1006"/>
      <c r="AE483" s="1006"/>
      <c r="AF483" s="1006"/>
      <c r="AG483" s="1006"/>
      <c r="AH483" s="1006"/>
      <c r="AI483" s="1006"/>
      <c r="AJ483" s="1006"/>
      <c r="AK483" s="1006"/>
      <c r="AL483" s="1006"/>
      <c r="AM483" s="1006"/>
      <c r="AN483" s="1006"/>
      <c r="AO483" s="1006"/>
      <c r="AP483" s="1006"/>
      <c r="AQ483" s="1006"/>
      <c r="AR483" s="1006"/>
      <c r="AS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c r="AA484" s="1006"/>
      <c r="AB484" s="1006"/>
      <c r="AC484" s="1006"/>
      <c r="AD484" s="1006"/>
      <c r="AE484" s="1006"/>
      <c r="AF484" s="1006"/>
      <c r="AG484" s="1006"/>
      <c r="AH484" s="1006"/>
      <c r="AI484" s="1006"/>
      <c r="AJ484" s="1006"/>
      <c r="AK484" s="1006"/>
      <c r="AL484" s="1006"/>
      <c r="AM484" s="1006"/>
      <c r="AN484" s="1006"/>
      <c r="AO484" s="1006"/>
      <c r="AP484" s="1006"/>
      <c r="AQ484" s="1006"/>
      <c r="AR484" s="1006"/>
      <c r="AS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c r="AA485" s="1006"/>
      <c r="AB485" s="1006"/>
      <c r="AC485" s="1006"/>
      <c r="AD485" s="1006"/>
      <c r="AE485" s="1006"/>
      <c r="AF485" s="1006"/>
      <c r="AG485" s="1006"/>
      <c r="AH485" s="1006"/>
      <c r="AI485" s="1006"/>
      <c r="AJ485" s="1006"/>
      <c r="AK485" s="1006"/>
      <c r="AL485" s="1006"/>
      <c r="AM485" s="1006"/>
      <c r="AN485" s="1006"/>
      <c r="AO485" s="1006"/>
      <c r="AP485" s="1006"/>
      <c r="AQ485" s="1006"/>
      <c r="AR485" s="1006"/>
      <c r="AS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c r="AA486" s="1006"/>
      <c r="AB486" s="1006"/>
      <c r="AC486" s="1006"/>
      <c r="AD486" s="1006"/>
      <c r="AE486" s="1006"/>
      <c r="AF486" s="1006"/>
      <c r="AG486" s="1006"/>
      <c r="AH486" s="1006"/>
      <c r="AI486" s="1006"/>
      <c r="AJ486" s="1006"/>
      <c r="AK486" s="1006"/>
      <c r="AL486" s="1006"/>
      <c r="AM486" s="1006"/>
      <c r="AN486" s="1006"/>
      <c r="AO486" s="1006"/>
      <c r="AP486" s="1006"/>
      <c r="AQ486" s="1006"/>
      <c r="AR486" s="1006"/>
      <c r="AS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c r="AA487" s="1006"/>
      <c r="AB487" s="1006"/>
      <c r="AC487" s="1006"/>
      <c r="AD487" s="1006"/>
      <c r="AE487" s="1006"/>
      <c r="AF487" s="1006"/>
      <c r="AG487" s="1006"/>
      <c r="AH487" s="1006"/>
      <c r="AI487" s="1006"/>
      <c r="AJ487" s="1006"/>
      <c r="AK487" s="1006"/>
      <c r="AL487" s="1006"/>
      <c r="AM487" s="1006"/>
      <c r="AN487" s="1006"/>
      <c r="AO487" s="1006"/>
      <c r="AP487" s="1006"/>
      <c r="AQ487" s="1006"/>
      <c r="AR487" s="1006"/>
      <c r="AS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c r="AA488" s="1006"/>
      <c r="AB488" s="1006"/>
      <c r="AC488" s="1006"/>
      <c r="AD488" s="1006"/>
      <c r="AE488" s="1006"/>
      <c r="AF488" s="1006"/>
      <c r="AG488" s="1006"/>
      <c r="AH488" s="1006"/>
      <c r="AI488" s="1006"/>
      <c r="AJ488" s="1006"/>
      <c r="AK488" s="1006"/>
      <c r="AL488" s="1006"/>
      <c r="AM488" s="1006"/>
      <c r="AN488" s="1006"/>
      <c r="AO488" s="1006"/>
      <c r="AP488" s="1006"/>
      <c r="AQ488" s="1006"/>
      <c r="AR488" s="1006"/>
      <c r="AS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c r="AA489" s="1006"/>
      <c r="AB489" s="1006"/>
      <c r="AC489" s="1006"/>
      <c r="AD489" s="1006"/>
      <c r="AE489" s="1006"/>
      <c r="AF489" s="1006"/>
      <c r="AG489" s="1006"/>
      <c r="AH489" s="1006"/>
      <c r="AI489" s="1006"/>
      <c r="AJ489" s="1006"/>
      <c r="AK489" s="1006"/>
      <c r="AL489" s="1006"/>
      <c r="AM489" s="1006"/>
      <c r="AN489" s="1006"/>
      <c r="AO489" s="1006"/>
      <c r="AP489" s="1006"/>
      <c r="AQ489" s="1006"/>
      <c r="AR489" s="1006"/>
      <c r="AS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c r="AA490" s="1006"/>
      <c r="AB490" s="1006"/>
      <c r="AC490" s="1006"/>
      <c r="AD490" s="1006"/>
      <c r="AE490" s="1006"/>
      <c r="AF490" s="1006"/>
      <c r="AG490" s="1006"/>
      <c r="AH490" s="1006"/>
      <c r="AI490" s="1006"/>
      <c r="AJ490" s="1006"/>
      <c r="AK490" s="1006"/>
      <c r="AL490" s="1006"/>
      <c r="AM490" s="1006"/>
      <c r="AN490" s="1006"/>
      <c r="AO490" s="1006"/>
      <c r="AP490" s="1006"/>
      <c r="AQ490" s="1006"/>
      <c r="AR490" s="1006"/>
      <c r="AS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c r="AA491" s="1006"/>
      <c r="AB491" s="1006"/>
      <c r="AC491" s="1006"/>
      <c r="AD491" s="1006"/>
      <c r="AE491" s="1006"/>
      <c r="AF491" s="1006"/>
      <c r="AG491" s="1006"/>
      <c r="AH491" s="1006"/>
      <c r="AI491" s="1006"/>
      <c r="AJ491" s="1006"/>
      <c r="AK491" s="1006"/>
      <c r="AL491" s="1006"/>
      <c r="AM491" s="1006"/>
      <c r="AN491" s="1006"/>
      <c r="AO491" s="1006"/>
      <c r="AP491" s="1006"/>
      <c r="AQ491" s="1006"/>
      <c r="AR491" s="1006"/>
      <c r="AS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c r="AA492" s="1006"/>
      <c r="AB492" s="1006"/>
      <c r="AC492" s="1006"/>
      <c r="AD492" s="1006"/>
      <c r="AE492" s="1006"/>
      <c r="AF492" s="1006"/>
      <c r="AG492" s="1006"/>
      <c r="AH492" s="1006"/>
      <c r="AI492" s="1006"/>
      <c r="AJ492" s="1006"/>
      <c r="AK492" s="1006"/>
      <c r="AL492" s="1006"/>
      <c r="AM492" s="1006"/>
      <c r="AN492" s="1006"/>
      <c r="AO492" s="1006"/>
      <c r="AP492" s="1006"/>
      <c r="AQ492" s="1006"/>
      <c r="AR492" s="1006"/>
      <c r="AS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c r="AA493" s="1006"/>
      <c r="AB493" s="1006"/>
      <c r="AC493" s="1006"/>
      <c r="AD493" s="1006"/>
      <c r="AE493" s="1006"/>
      <c r="AF493" s="1006"/>
      <c r="AG493" s="1006"/>
      <c r="AH493" s="1006"/>
      <c r="AI493" s="1006"/>
      <c r="AJ493" s="1006"/>
      <c r="AK493" s="1006"/>
      <c r="AL493" s="1006"/>
      <c r="AM493" s="1006"/>
      <c r="AN493" s="1006"/>
      <c r="AO493" s="1006"/>
      <c r="AP493" s="1006"/>
      <c r="AQ493" s="1006"/>
      <c r="AR493" s="1006"/>
      <c r="AS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c r="AA494" s="1006"/>
      <c r="AB494" s="1006"/>
      <c r="AC494" s="1006"/>
      <c r="AD494" s="1006"/>
      <c r="AE494" s="1006"/>
      <c r="AF494" s="1006"/>
      <c r="AG494" s="1006"/>
      <c r="AH494" s="1006"/>
      <c r="AI494" s="1006"/>
      <c r="AJ494" s="1006"/>
      <c r="AK494" s="1006"/>
      <c r="AL494" s="1006"/>
      <c r="AM494" s="1006"/>
      <c r="AN494" s="1006"/>
      <c r="AO494" s="1006"/>
      <c r="AP494" s="1006"/>
      <c r="AQ494" s="1006"/>
      <c r="AR494" s="1006"/>
      <c r="AS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c r="AA495" s="1006"/>
      <c r="AB495" s="1006"/>
      <c r="AC495" s="1006"/>
      <c r="AD495" s="1006"/>
      <c r="AE495" s="1006"/>
      <c r="AF495" s="1006"/>
      <c r="AG495" s="1006"/>
      <c r="AH495" s="1006"/>
      <c r="AI495" s="1006"/>
      <c r="AJ495" s="1006"/>
      <c r="AK495" s="1006"/>
      <c r="AL495" s="1006"/>
      <c r="AM495" s="1006"/>
      <c r="AN495" s="1006"/>
      <c r="AO495" s="1006"/>
      <c r="AP495" s="1006"/>
      <c r="AQ495" s="1006"/>
      <c r="AR495" s="1006"/>
      <c r="AS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c r="AA496" s="1006"/>
      <c r="AB496" s="1006"/>
      <c r="AC496" s="1006"/>
      <c r="AD496" s="1006"/>
      <c r="AE496" s="1006"/>
      <c r="AF496" s="1006"/>
      <c r="AG496" s="1006"/>
      <c r="AH496" s="1006"/>
      <c r="AI496" s="1006"/>
      <c r="AJ496" s="1006"/>
      <c r="AK496" s="1006"/>
      <c r="AL496" s="1006"/>
      <c r="AM496" s="1006"/>
      <c r="AN496" s="1006"/>
      <c r="AO496" s="1006"/>
      <c r="AP496" s="1006"/>
      <c r="AQ496" s="1006"/>
      <c r="AR496" s="1006"/>
      <c r="AS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c r="AA497" s="1006"/>
      <c r="AB497" s="1006"/>
      <c r="AC497" s="1006"/>
      <c r="AD497" s="1006"/>
      <c r="AE497" s="1006"/>
      <c r="AF497" s="1006"/>
      <c r="AG497" s="1006"/>
      <c r="AH497" s="1006"/>
      <c r="AI497" s="1006"/>
      <c r="AJ497" s="1006"/>
      <c r="AK497" s="1006"/>
      <c r="AL497" s="1006"/>
      <c r="AM497" s="1006"/>
      <c r="AN497" s="1006"/>
      <c r="AO497" s="1006"/>
      <c r="AP497" s="1006"/>
      <c r="AQ497" s="1006"/>
      <c r="AR497" s="1006"/>
      <c r="AS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c r="AA498" s="1006"/>
      <c r="AB498" s="1006"/>
      <c r="AC498" s="1006"/>
      <c r="AD498" s="1006"/>
      <c r="AE498" s="1006"/>
      <c r="AF498" s="1006"/>
      <c r="AG498" s="1006"/>
      <c r="AH498" s="1006"/>
      <c r="AI498" s="1006"/>
      <c r="AJ498" s="1006"/>
      <c r="AK498" s="1006"/>
      <c r="AL498" s="1006"/>
      <c r="AM498" s="1006"/>
      <c r="AN498" s="1006"/>
      <c r="AO498" s="1006"/>
      <c r="AP498" s="1006"/>
      <c r="AQ498" s="1006"/>
      <c r="AR498" s="1006"/>
      <c r="AS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c r="AA499" s="1006"/>
      <c r="AB499" s="1006"/>
      <c r="AC499" s="1006"/>
      <c r="AD499" s="1006"/>
      <c r="AE499" s="1006"/>
      <c r="AF499" s="1006"/>
      <c r="AG499" s="1006"/>
      <c r="AH499" s="1006"/>
      <c r="AI499" s="1006"/>
      <c r="AJ499" s="1006"/>
      <c r="AK499" s="1006"/>
      <c r="AL499" s="1006"/>
      <c r="AM499" s="1006"/>
      <c r="AN499" s="1006"/>
      <c r="AO499" s="1006"/>
      <c r="AP499" s="1006"/>
      <c r="AQ499" s="1006"/>
      <c r="AR499" s="1006"/>
      <c r="AS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c r="AA500" s="1006"/>
      <c r="AB500" s="1006"/>
      <c r="AC500" s="1006"/>
      <c r="AD500" s="1006"/>
      <c r="AE500" s="1006"/>
      <c r="AF500" s="1006"/>
      <c r="AG500" s="1006"/>
      <c r="AH500" s="1006"/>
      <c r="AI500" s="1006"/>
      <c r="AJ500" s="1006"/>
      <c r="AK500" s="1006"/>
      <c r="AL500" s="1006"/>
      <c r="AM500" s="1006"/>
      <c r="AN500" s="1006"/>
      <c r="AO500" s="1006"/>
      <c r="AP500" s="1006"/>
      <c r="AQ500" s="1006"/>
      <c r="AR500" s="1006"/>
      <c r="AS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c r="AA501" s="1006"/>
      <c r="AB501" s="1006"/>
      <c r="AC501" s="1006"/>
      <c r="AD501" s="1006"/>
      <c r="AE501" s="1006"/>
      <c r="AF501" s="1006"/>
      <c r="AG501" s="1006"/>
      <c r="AH501" s="1006"/>
      <c r="AI501" s="1006"/>
      <c r="AJ501" s="1006"/>
      <c r="AK501" s="1006"/>
      <c r="AL501" s="1006"/>
      <c r="AM501" s="1006"/>
      <c r="AN501" s="1006"/>
      <c r="AO501" s="1006"/>
      <c r="AP501" s="1006"/>
      <c r="AQ501" s="1006"/>
      <c r="AR501" s="1006"/>
      <c r="AS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c r="AA502" s="1006"/>
      <c r="AB502" s="1006"/>
      <c r="AC502" s="1006"/>
      <c r="AD502" s="1006"/>
      <c r="AE502" s="1006"/>
      <c r="AF502" s="1006"/>
      <c r="AG502" s="1006"/>
      <c r="AH502" s="1006"/>
      <c r="AI502" s="1006"/>
      <c r="AJ502" s="1006"/>
      <c r="AK502" s="1006"/>
      <c r="AL502" s="1006"/>
      <c r="AM502" s="1006"/>
      <c r="AN502" s="1006"/>
      <c r="AO502" s="1006"/>
      <c r="AP502" s="1006"/>
      <c r="AQ502" s="1006"/>
      <c r="AR502" s="1006"/>
      <c r="AS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c r="AA503" s="1006"/>
      <c r="AB503" s="1006"/>
      <c r="AC503" s="1006"/>
      <c r="AD503" s="1006"/>
      <c r="AE503" s="1006"/>
      <c r="AF503" s="1006"/>
      <c r="AG503" s="1006"/>
      <c r="AH503" s="1006"/>
      <c r="AI503" s="1006"/>
      <c r="AJ503" s="1006"/>
      <c r="AK503" s="1006"/>
      <c r="AL503" s="1006"/>
      <c r="AM503" s="1006"/>
      <c r="AN503" s="1006"/>
      <c r="AO503" s="1006"/>
      <c r="AP503" s="1006"/>
      <c r="AQ503" s="1006"/>
      <c r="AR503" s="1006"/>
      <c r="AS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c r="AA504" s="1006"/>
      <c r="AB504" s="1006"/>
      <c r="AC504" s="1006"/>
      <c r="AD504" s="1006"/>
      <c r="AE504" s="1006"/>
      <c r="AF504" s="1006"/>
      <c r="AG504" s="1006"/>
      <c r="AH504" s="1006"/>
      <c r="AI504" s="1006"/>
      <c r="AJ504" s="1006"/>
      <c r="AK504" s="1006"/>
      <c r="AL504" s="1006"/>
      <c r="AM504" s="1006"/>
      <c r="AN504" s="1006"/>
      <c r="AO504" s="1006"/>
      <c r="AP504" s="1006"/>
      <c r="AQ504" s="1006"/>
      <c r="AR504" s="1006"/>
      <c r="AS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c r="AA505" s="1006"/>
      <c r="AB505" s="1006"/>
      <c r="AC505" s="1006"/>
      <c r="AD505" s="1006"/>
      <c r="AE505" s="1006"/>
      <c r="AF505" s="1006"/>
      <c r="AG505" s="1006"/>
      <c r="AH505" s="1006"/>
      <c r="AI505" s="1006"/>
      <c r="AJ505" s="1006"/>
      <c r="AK505" s="1006"/>
      <c r="AL505" s="1006"/>
      <c r="AM505" s="1006"/>
      <c r="AN505" s="1006"/>
      <c r="AO505" s="1006"/>
      <c r="AP505" s="1006"/>
      <c r="AQ505" s="1006"/>
      <c r="AR505" s="1006"/>
      <c r="AS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c r="AA506" s="1006"/>
      <c r="AB506" s="1006"/>
      <c r="AC506" s="1006"/>
      <c r="AD506" s="1006"/>
      <c r="AE506" s="1006"/>
      <c r="AF506" s="1006"/>
      <c r="AG506" s="1006"/>
      <c r="AH506" s="1006"/>
      <c r="AI506" s="1006"/>
      <c r="AJ506" s="1006"/>
      <c r="AK506" s="1006"/>
      <c r="AL506" s="1006"/>
      <c r="AM506" s="1006"/>
      <c r="AN506" s="1006"/>
      <c r="AO506" s="1006"/>
      <c r="AP506" s="1006"/>
      <c r="AQ506" s="1006"/>
      <c r="AR506" s="1006"/>
      <c r="AS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c r="AA507" s="1006"/>
      <c r="AB507" s="1006"/>
      <c r="AC507" s="1006"/>
      <c r="AD507" s="1006"/>
      <c r="AE507" s="1006"/>
      <c r="AF507" s="1006"/>
      <c r="AG507" s="1006"/>
      <c r="AH507" s="1006"/>
      <c r="AI507" s="1006"/>
      <c r="AJ507" s="1006"/>
      <c r="AK507" s="1006"/>
      <c r="AL507" s="1006"/>
      <c r="AM507" s="1006"/>
      <c r="AN507" s="1006"/>
      <c r="AO507" s="1006"/>
      <c r="AP507" s="1006"/>
      <c r="AQ507" s="1006"/>
      <c r="AR507" s="1006"/>
      <c r="AS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c r="AA508" s="1006"/>
      <c r="AB508" s="1006"/>
      <c r="AC508" s="1006"/>
      <c r="AD508" s="1006"/>
      <c r="AE508" s="1006"/>
      <c r="AF508" s="1006"/>
      <c r="AG508" s="1006"/>
      <c r="AH508" s="1006"/>
      <c r="AI508" s="1006"/>
      <c r="AJ508" s="1006"/>
      <c r="AK508" s="1006"/>
      <c r="AL508" s="1006"/>
      <c r="AM508" s="1006"/>
      <c r="AN508" s="1006"/>
      <c r="AO508" s="1006"/>
      <c r="AP508" s="1006"/>
      <c r="AQ508" s="1006"/>
      <c r="AR508" s="1006"/>
      <c r="AS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c r="AA509" s="1006"/>
      <c r="AB509" s="1006"/>
      <c r="AC509" s="1006"/>
      <c r="AD509" s="1006"/>
      <c r="AE509" s="1006"/>
      <c r="AF509" s="1006"/>
      <c r="AG509" s="1006"/>
      <c r="AH509" s="1006"/>
      <c r="AI509" s="1006"/>
      <c r="AJ509" s="1006"/>
      <c r="AK509" s="1006"/>
      <c r="AL509" s="1006"/>
      <c r="AM509" s="1006"/>
      <c r="AN509" s="1006"/>
      <c r="AO509" s="1006"/>
      <c r="AP509" s="1006"/>
      <c r="AQ509" s="1006"/>
      <c r="AR509" s="1006"/>
      <c r="AS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c r="AA510" s="1006"/>
      <c r="AB510" s="1006"/>
      <c r="AC510" s="1006"/>
      <c r="AD510" s="1006"/>
      <c r="AE510" s="1006"/>
      <c r="AF510" s="1006"/>
      <c r="AG510" s="1006"/>
      <c r="AH510" s="1006"/>
      <c r="AI510" s="1006"/>
      <c r="AJ510" s="1006"/>
      <c r="AK510" s="1006"/>
      <c r="AL510" s="1006"/>
      <c r="AM510" s="1006"/>
      <c r="AN510" s="1006"/>
      <c r="AO510" s="1006"/>
      <c r="AP510" s="1006"/>
      <c r="AQ510" s="1006"/>
      <c r="AR510" s="1006"/>
      <c r="AS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c r="AA511" s="1006"/>
      <c r="AB511" s="1006"/>
      <c r="AC511" s="1006"/>
      <c r="AD511" s="1006"/>
      <c r="AE511" s="1006"/>
      <c r="AF511" s="1006"/>
      <c r="AG511" s="1006"/>
      <c r="AH511" s="1006"/>
      <c r="AI511" s="1006"/>
      <c r="AJ511" s="1006"/>
      <c r="AK511" s="1006"/>
      <c r="AL511" s="1006"/>
      <c r="AM511" s="1006"/>
      <c r="AN511" s="1006"/>
      <c r="AO511" s="1006"/>
      <c r="AP511" s="1006"/>
      <c r="AQ511" s="1006"/>
      <c r="AR511" s="1006"/>
      <c r="AS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c r="AA512" s="1006"/>
      <c r="AB512" s="1006"/>
      <c r="AC512" s="1006"/>
      <c r="AD512" s="1006"/>
      <c r="AE512" s="1006"/>
      <c r="AF512" s="1006"/>
      <c r="AG512" s="1006"/>
      <c r="AH512" s="1006"/>
      <c r="AI512" s="1006"/>
      <c r="AJ512" s="1006"/>
      <c r="AK512" s="1006"/>
      <c r="AL512" s="1006"/>
      <c r="AM512" s="1006"/>
      <c r="AN512" s="1006"/>
      <c r="AO512" s="1006"/>
      <c r="AP512" s="1006"/>
      <c r="AQ512" s="1006"/>
      <c r="AR512" s="1006"/>
      <c r="AS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c r="AA513" s="1006"/>
      <c r="AB513" s="1006"/>
      <c r="AC513" s="1006"/>
      <c r="AD513" s="1006"/>
      <c r="AE513" s="1006"/>
      <c r="AF513" s="1006"/>
      <c r="AG513" s="1006"/>
      <c r="AH513" s="1006"/>
      <c r="AI513" s="1006"/>
      <c r="AJ513" s="1006"/>
      <c r="AK513" s="1006"/>
      <c r="AL513" s="1006"/>
      <c r="AM513" s="1006"/>
      <c r="AN513" s="1006"/>
      <c r="AO513" s="1006"/>
      <c r="AP513" s="1006"/>
      <c r="AQ513" s="1006"/>
      <c r="AR513" s="1006"/>
      <c r="AS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c r="AA514" s="1006"/>
      <c r="AB514" s="1006"/>
      <c r="AC514" s="1006"/>
      <c r="AD514" s="1006"/>
      <c r="AE514" s="1006"/>
      <c r="AF514" s="1006"/>
      <c r="AG514" s="1006"/>
      <c r="AH514" s="1006"/>
      <c r="AI514" s="1006"/>
      <c r="AJ514" s="1006"/>
      <c r="AK514" s="1006"/>
      <c r="AL514" s="1006"/>
      <c r="AM514" s="1006"/>
      <c r="AN514" s="1006"/>
      <c r="AO514" s="1006"/>
      <c r="AP514" s="1006"/>
      <c r="AQ514" s="1006"/>
      <c r="AR514" s="1006"/>
      <c r="AS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c r="AA515" s="1006"/>
      <c r="AB515" s="1006"/>
      <c r="AC515" s="1006"/>
      <c r="AD515" s="1006"/>
      <c r="AE515" s="1006"/>
      <c r="AF515" s="1006"/>
      <c r="AG515" s="1006"/>
      <c r="AH515" s="1006"/>
      <c r="AI515" s="1006"/>
      <c r="AJ515" s="1006"/>
      <c r="AK515" s="1006"/>
      <c r="AL515" s="1006"/>
      <c r="AM515" s="1006"/>
      <c r="AN515" s="1006"/>
      <c r="AO515" s="1006"/>
      <c r="AP515" s="1006"/>
      <c r="AQ515" s="1006"/>
      <c r="AR515" s="1006"/>
      <c r="AS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c r="AA516" s="1006"/>
      <c r="AB516" s="1006"/>
      <c r="AC516" s="1006"/>
      <c r="AD516" s="1006"/>
      <c r="AE516" s="1006"/>
      <c r="AF516" s="1006"/>
      <c r="AG516" s="1006"/>
      <c r="AH516" s="1006"/>
      <c r="AI516" s="1006"/>
      <c r="AJ516" s="1006"/>
      <c r="AK516" s="1006"/>
      <c r="AL516" s="1006"/>
      <c r="AM516" s="1006"/>
      <c r="AN516" s="1006"/>
      <c r="AO516" s="1006"/>
      <c r="AP516" s="1006"/>
      <c r="AQ516" s="1006"/>
      <c r="AR516" s="1006"/>
      <c r="AS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c r="AA517" s="1006"/>
      <c r="AB517" s="1006"/>
      <c r="AC517" s="1006"/>
      <c r="AD517" s="1006"/>
      <c r="AE517" s="1006"/>
      <c r="AF517" s="1006"/>
      <c r="AG517" s="1006"/>
      <c r="AH517" s="1006"/>
      <c r="AI517" s="1006"/>
      <c r="AJ517" s="1006"/>
      <c r="AK517" s="1006"/>
      <c r="AL517" s="1006"/>
      <c r="AM517" s="1006"/>
      <c r="AN517" s="1006"/>
      <c r="AO517" s="1006"/>
      <c r="AP517" s="1006"/>
      <c r="AQ517" s="1006"/>
      <c r="AR517" s="1006"/>
      <c r="AS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c r="AA518" s="1006"/>
      <c r="AB518" s="1006"/>
      <c r="AC518" s="1006"/>
      <c r="AD518" s="1006"/>
      <c r="AE518" s="1006"/>
      <c r="AF518" s="1006"/>
      <c r="AG518" s="1006"/>
      <c r="AH518" s="1006"/>
      <c r="AI518" s="1006"/>
      <c r="AJ518" s="1006"/>
      <c r="AK518" s="1006"/>
      <c r="AL518" s="1006"/>
      <c r="AM518" s="1006"/>
      <c r="AN518" s="1006"/>
      <c r="AO518" s="1006"/>
      <c r="AP518" s="1006"/>
      <c r="AQ518" s="1006"/>
      <c r="AR518" s="1006"/>
      <c r="AS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c r="AA519" s="1006"/>
      <c r="AB519" s="1006"/>
      <c r="AC519" s="1006"/>
      <c r="AD519" s="1006"/>
      <c r="AE519" s="1006"/>
      <c r="AF519" s="1006"/>
      <c r="AG519" s="1006"/>
      <c r="AH519" s="1006"/>
      <c r="AI519" s="1006"/>
      <c r="AJ519" s="1006"/>
      <c r="AK519" s="1006"/>
      <c r="AL519" s="1006"/>
      <c r="AM519" s="1006"/>
      <c r="AN519" s="1006"/>
      <c r="AO519" s="1006"/>
      <c r="AP519" s="1006"/>
      <c r="AQ519" s="1006"/>
      <c r="AR519" s="1006"/>
      <c r="AS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c r="AA520" s="1006"/>
      <c r="AB520" s="1006"/>
      <c r="AC520" s="1006"/>
      <c r="AD520" s="1006"/>
      <c r="AE520" s="1006"/>
      <c r="AF520" s="1006"/>
      <c r="AG520" s="1006"/>
      <c r="AH520" s="1006"/>
      <c r="AI520" s="1006"/>
      <c r="AJ520" s="1006"/>
      <c r="AK520" s="1006"/>
      <c r="AL520" s="1006"/>
      <c r="AM520" s="1006"/>
      <c r="AN520" s="1006"/>
      <c r="AO520" s="1006"/>
      <c r="AP520" s="1006"/>
      <c r="AQ520" s="1006"/>
      <c r="AR520" s="1006"/>
      <c r="AS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c r="AA521" s="1006"/>
      <c r="AB521" s="1006"/>
      <c r="AC521" s="1006"/>
      <c r="AD521" s="1006"/>
      <c r="AE521" s="1006"/>
      <c r="AF521" s="1006"/>
      <c r="AG521" s="1006"/>
      <c r="AH521" s="1006"/>
      <c r="AI521" s="1006"/>
      <c r="AJ521" s="1006"/>
      <c r="AK521" s="1006"/>
      <c r="AL521" s="1006"/>
      <c r="AM521" s="1006"/>
      <c r="AN521" s="1006"/>
      <c r="AO521" s="1006"/>
      <c r="AP521" s="1006"/>
      <c r="AQ521" s="1006"/>
      <c r="AR521" s="1006"/>
      <c r="AS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c r="AA522" s="1006"/>
      <c r="AB522" s="1006"/>
      <c r="AC522" s="1006"/>
      <c r="AD522" s="1006"/>
      <c r="AE522" s="1006"/>
      <c r="AF522" s="1006"/>
      <c r="AG522" s="1006"/>
      <c r="AH522" s="1006"/>
      <c r="AI522" s="1006"/>
      <c r="AJ522" s="1006"/>
      <c r="AK522" s="1006"/>
      <c r="AL522" s="1006"/>
      <c r="AM522" s="1006"/>
      <c r="AN522" s="1006"/>
      <c r="AO522" s="1006"/>
      <c r="AP522" s="1006"/>
      <c r="AQ522" s="1006"/>
      <c r="AR522" s="1006"/>
      <c r="AS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c r="AA523" s="1006"/>
      <c r="AB523" s="1006"/>
      <c r="AC523" s="1006"/>
      <c r="AD523" s="1006"/>
      <c r="AE523" s="1006"/>
      <c r="AF523" s="1006"/>
      <c r="AG523" s="1006"/>
      <c r="AH523" s="1006"/>
      <c r="AI523" s="1006"/>
      <c r="AJ523" s="1006"/>
      <c r="AK523" s="1006"/>
      <c r="AL523" s="1006"/>
      <c r="AM523" s="1006"/>
      <c r="AN523" s="1006"/>
      <c r="AO523" s="1006"/>
      <c r="AP523" s="1006"/>
      <c r="AQ523" s="1006"/>
      <c r="AR523" s="1006"/>
      <c r="AS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c r="AA524" s="1006"/>
      <c r="AB524" s="1006"/>
      <c r="AC524" s="1006"/>
      <c r="AD524" s="1006"/>
      <c r="AE524" s="1006"/>
      <c r="AF524" s="1006"/>
      <c r="AG524" s="1006"/>
      <c r="AH524" s="1006"/>
      <c r="AI524" s="1006"/>
      <c r="AJ524" s="1006"/>
      <c r="AK524" s="1006"/>
      <c r="AL524" s="1006"/>
      <c r="AM524" s="1006"/>
      <c r="AN524" s="1006"/>
      <c r="AO524" s="1006"/>
      <c r="AP524" s="1006"/>
      <c r="AQ524" s="1006"/>
      <c r="AR524" s="1006"/>
      <c r="AS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c r="AA525" s="1006"/>
      <c r="AB525" s="1006"/>
      <c r="AC525" s="1006"/>
      <c r="AD525" s="1006"/>
      <c r="AE525" s="1006"/>
      <c r="AF525" s="1006"/>
      <c r="AG525" s="1006"/>
      <c r="AH525" s="1006"/>
      <c r="AI525" s="1006"/>
      <c r="AJ525" s="1006"/>
      <c r="AK525" s="1006"/>
      <c r="AL525" s="1006"/>
      <c r="AM525" s="1006"/>
      <c r="AN525" s="1006"/>
      <c r="AO525" s="1006"/>
      <c r="AP525" s="1006"/>
      <c r="AQ525" s="1006"/>
      <c r="AR525" s="1006"/>
      <c r="AS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c r="AA526" s="1006"/>
      <c r="AB526" s="1006"/>
      <c r="AC526" s="1006"/>
      <c r="AD526" s="1006"/>
      <c r="AE526" s="1006"/>
      <c r="AF526" s="1006"/>
      <c r="AG526" s="1006"/>
      <c r="AH526" s="1006"/>
      <c r="AI526" s="1006"/>
      <c r="AJ526" s="1006"/>
      <c r="AK526" s="1006"/>
      <c r="AL526" s="1006"/>
      <c r="AM526" s="1006"/>
      <c r="AN526" s="1006"/>
      <c r="AO526" s="1006"/>
      <c r="AP526" s="1006"/>
      <c r="AQ526" s="1006"/>
      <c r="AR526" s="1006"/>
      <c r="AS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c r="AA527" s="1006"/>
      <c r="AB527" s="1006"/>
      <c r="AC527" s="1006"/>
      <c r="AD527" s="1006"/>
      <c r="AE527" s="1006"/>
      <c r="AF527" s="1006"/>
      <c r="AG527" s="1006"/>
      <c r="AH527" s="1006"/>
      <c r="AI527" s="1006"/>
      <c r="AJ527" s="1006"/>
      <c r="AK527" s="1006"/>
      <c r="AL527" s="1006"/>
      <c r="AM527" s="1006"/>
      <c r="AN527" s="1006"/>
      <c r="AO527" s="1006"/>
      <c r="AP527" s="1006"/>
      <c r="AQ527" s="1006"/>
      <c r="AR527" s="1006"/>
      <c r="AS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c r="AA528" s="1006"/>
      <c r="AB528" s="1006"/>
      <c r="AC528" s="1006"/>
      <c r="AD528" s="1006"/>
      <c r="AE528" s="1006"/>
      <c r="AF528" s="1006"/>
      <c r="AG528" s="1006"/>
      <c r="AH528" s="1006"/>
      <c r="AI528" s="1006"/>
      <c r="AJ528" s="1006"/>
      <c r="AK528" s="1006"/>
      <c r="AL528" s="1006"/>
      <c r="AM528" s="1006"/>
      <c r="AN528" s="1006"/>
      <c r="AO528" s="1006"/>
      <c r="AP528" s="1006"/>
      <c r="AQ528" s="1006"/>
      <c r="AR528" s="1006"/>
      <c r="AS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c r="AA529" s="1006"/>
      <c r="AB529" s="1006"/>
      <c r="AC529" s="1006"/>
      <c r="AD529" s="1006"/>
      <c r="AE529" s="1006"/>
      <c r="AF529" s="1006"/>
      <c r="AG529" s="1006"/>
      <c r="AH529" s="1006"/>
      <c r="AI529" s="1006"/>
      <c r="AJ529" s="1006"/>
      <c r="AK529" s="1006"/>
      <c r="AL529" s="1006"/>
      <c r="AM529" s="1006"/>
      <c r="AN529" s="1006"/>
      <c r="AO529" s="1006"/>
      <c r="AP529" s="1006"/>
      <c r="AQ529" s="1006"/>
      <c r="AR529" s="1006"/>
      <c r="AS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c r="AA530" s="1006"/>
      <c r="AB530" s="1006"/>
      <c r="AC530" s="1006"/>
      <c r="AD530" s="1006"/>
      <c r="AE530" s="1006"/>
      <c r="AF530" s="1006"/>
      <c r="AG530" s="1006"/>
      <c r="AH530" s="1006"/>
      <c r="AI530" s="1006"/>
      <c r="AJ530" s="1006"/>
      <c r="AK530" s="1006"/>
      <c r="AL530" s="1006"/>
      <c r="AM530" s="1006"/>
      <c r="AN530" s="1006"/>
      <c r="AO530" s="1006"/>
      <c r="AP530" s="1006"/>
      <c r="AQ530" s="1006"/>
      <c r="AR530" s="1006"/>
      <c r="AS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c r="AA531" s="1006"/>
      <c r="AB531" s="1006"/>
      <c r="AC531" s="1006"/>
      <c r="AD531" s="1006"/>
      <c r="AE531" s="1006"/>
      <c r="AF531" s="1006"/>
      <c r="AG531" s="1006"/>
      <c r="AH531" s="1006"/>
      <c r="AI531" s="1006"/>
      <c r="AJ531" s="1006"/>
      <c r="AK531" s="1006"/>
      <c r="AL531" s="1006"/>
      <c r="AM531" s="1006"/>
      <c r="AN531" s="1006"/>
      <c r="AO531" s="1006"/>
      <c r="AP531" s="1006"/>
      <c r="AQ531" s="1006"/>
      <c r="AR531" s="1006"/>
      <c r="AS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c r="AA532" s="1006"/>
      <c r="AB532" s="1006"/>
      <c r="AC532" s="1006"/>
      <c r="AD532" s="1006"/>
      <c r="AE532" s="1006"/>
      <c r="AF532" s="1006"/>
      <c r="AG532" s="1006"/>
      <c r="AH532" s="1006"/>
      <c r="AI532" s="1006"/>
      <c r="AJ532" s="1006"/>
      <c r="AK532" s="1006"/>
      <c r="AL532" s="1006"/>
      <c r="AM532" s="1006"/>
      <c r="AN532" s="1006"/>
      <c r="AO532" s="1006"/>
      <c r="AP532" s="1006"/>
      <c r="AQ532" s="1006"/>
      <c r="AR532" s="1006"/>
      <c r="AS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c r="AA533" s="1006"/>
      <c r="AB533" s="1006"/>
      <c r="AC533" s="1006"/>
      <c r="AD533" s="1006"/>
      <c r="AE533" s="1006"/>
      <c r="AF533" s="1006"/>
      <c r="AG533" s="1006"/>
      <c r="AH533" s="1006"/>
      <c r="AI533" s="1006"/>
      <c r="AJ533" s="1006"/>
      <c r="AK533" s="1006"/>
      <c r="AL533" s="1006"/>
      <c r="AM533" s="1006"/>
      <c r="AN533" s="1006"/>
      <c r="AO533" s="1006"/>
      <c r="AP533" s="1006"/>
      <c r="AQ533" s="1006"/>
      <c r="AR533" s="1006"/>
      <c r="AS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c r="AA534" s="1006"/>
      <c r="AB534" s="1006"/>
      <c r="AC534" s="1006"/>
      <c r="AD534" s="1006"/>
      <c r="AE534" s="1006"/>
      <c r="AF534" s="1006"/>
      <c r="AG534" s="1006"/>
      <c r="AH534" s="1006"/>
      <c r="AI534" s="1006"/>
      <c r="AJ534" s="1006"/>
      <c r="AK534" s="1006"/>
      <c r="AL534" s="1006"/>
      <c r="AM534" s="1006"/>
      <c r="AN534" s="1006"/>
      <c r="AO534" s="1006"/>
      <c r="AP534" s="1006"/>
      <c r="AQ534" s="1006"/>
      <c r="AR534" s="1006"/>
      <c r="AS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c r="AA535" s="1006"/>
      <c r="AB535" s="1006"/>
      <c r="AC535" s="1006"/>
      <c r="AD535" s="1006"/>
      <c r="AE535" s="1006"/>
      <c r="AF535" s="1006"/>
      <c r="AG535" s="1006"/>
      <c r="AH535" s="1006"/>
      <c r="AI535" s="1006"/>
      <c r="AJ535" s="1006"/>
      <c r="AK535" s="1006"/>
      <c r="AL535" s="1006"/>
      <c r="AM535" s="1006"/>
      <c r="AN535" s="1006"/>
      <c r="AO535" s="1006"/>
      <c r="AP535" s="1006"/>
      <c r="AQ535" s="1006"/>
      <c r="AR535" s="1006"/>
      <c r="AS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c r="AA536" s="1006"/>
      <c r="AB536" s="1006"/>
      <c r="AC536" s="1006"/>
      <c r="AD536" s="1006"/>
      <c r="AE536" s="1006"/>
      <c r="AF536" s="1006"/>
      <c r="AG536" s="1006"/>
      <c r="AH536" s="1006"/>
      <c r="AI536" s="1006"/>
      <c r="AJ536" s="1006"/>
      <c r="AK536" s="1006"/>
      <c r="AL536" s="1006"/>
      <c r="AM536" s="1006"/>
      <c r="AN536" s="1006"/>
      <c r="AO536" s="1006"/>
      <c r="AP536" s="1006"/>
      <c r="AQ536" s="1006"/>
      <c r="AR536" s="1006"/>
      <c r="AS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c r="AA537" s="1006"/>
      <c r="AB537" s="1006"/>
      <c r="AC537" s="1006"/>
      <c r="AD537" s="1006"/>
      <c r="AE537" s="1006"/>
      <c r="AF537" s="1006"/>
      <c r="AG537" s="1006"/>
      <c r="AH537" s="1006"/>
      <c r="AI537" s="1006"/>
      <c r="AJ537" s="1006"/>
      <c r="AK537" s="1006"/>
      <c r="AL537" s="1006"/>
      <c r="AM537" s="1006"/>
      <c r="AN537" s="1006"/>
      <c r="AO537" s="1006"/>
      <c r="AP537" s="1006"/>
      <c r="AQ537" s="1006"/>
      <c r="AR537" s="1006"/>
      <c r="AS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c r="AA538" s="1006"/>
      <c r="AB538" s="1006"/>
      <c r="AC538" s="1006"/>
      <c r="AD538" s="1006"/>
      <c r="AE538" s="1006"/>
      <c r="AF538" s="1006"/>
      <c r="AG538" s="1006"/>
      <c r="AH538" s="1006"/>
      <c r="AI538" s="1006"/>
      <c r="AJ538" s="1006"/>
      <c r="AK538" s="1006"/>
      <c r="AL538" s="1006"/>
      <c r="AM538" s="1006"/>
      <c r="AN538" s="1006"/>
      <c r="AO538" s="1006"/>
      <c r="AP538" s="1006"/>
      <c r="AQ538" s="1006"/>
      <c r="AR538" s="1006"/>
      <c r="AS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c r="AA539" s="1006"/>
      <c r="AB539" s="1006"/>
      <c r="AC539" s="1006"/>
      <c r="AD539" s="1006"/>
      <c r="AE539" s="1006"/>
      <c r="AF539" s="1006"/>
      <c r="AG539" s="1006"/>
      <c r="AH539" s="1006"/>
      <c r="AI539" s="1006"/>
      <c r="AJ539" s="1006"/>
      <c r="AK539" s="1006"/>
      <c r="AL539" s="1006"/>
      <c r="AM539" s="1006"/>
      <c r="AN539" s="1006"/>
      <c r="AO539" s="1006"/>
      <c r="AP539" s="1006"/>
      <c r="AQ539" s="1006"/>
      <c r="AR539" s="1006"/>
      <c r="AS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c r="AA540" s="1006"/>
      <c r="AB540" s="1006"/>
      <c r="AC540" s="1006"/>
      <c r="AD540" s="1006"/>
      <c r="AE540" s="1006"/>
      <c r="AF540" s="1006"/>
      <c r="AG540" s="1006"/>
      <c r="AH540" s="1006"/>
      <c r="AI540" s="1006"/>
      <c r="AJ540" s="1006"/>
      <c r="AK540" s="1006"/>
      <c r="AL540" s="1006"/>
      <c r="AM540" s="1006"/>
      <c r="AN540" s="1006"/>
      <c r="AO540" s="1006"/>
      <c r="AP540" s="1006"/>
      <c r="AQ540" s="1006"/>
      <c r="AR540" s="1006"/>
      <c r="AS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c r="AA541" s="1006"/>
      <c r="AB541" s="1006"/>
      <c r="AC541" s="1006"/>
      <c r="AD541" s="1006"/>
      <c r="AE541" s="1006"/>
      <c r="AF541" s="1006"/>
      <c r="AG541" s="1006"/>
      <c r="AH541" s="1006"/>
      <c r="AI541" s="1006"/>
      <c r="AJ541" s="1006"/>
      <c r="AK541" s="1006"/>
      <c r="AL541" s="1006"/>
      <c r="AM541" s="1006"/>
      <c r="AN541" s="1006"/>
      <c r="AO541" s="1006"/>
      <c r="AP541" s="1006"/>
      <c r="AQ541" s="1006"/>
      <c r="AR541" s="1006"/>
      <c r="AS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c r="AA542" s="1006"/>
      <c r="AB542" s="1006"/>
      <c r="AC542" s="1006"/>
      <c r="AD542" s="1006"/>
      <c r="AE542" s="1006"/>
      <c r="AF542" s="1006"/>
      <c r="AG542" s="1006"/>
      <c r="AH542" s="1006"/>
      <c r="AI542" s="1006"/>
      <c r="AJ542" s="1006"/>
      <c r="AK542" s="1006"/>
      <c r="AL542" s="1006"/>
      <c r="AM542" s="1006"/>
      <c r="AN542" s="1006"/>
      <c r="AO542" s="1006"/>
      <c r="AP542" s="1006"/>
      <c r="AQ542" s="1006"/>
      <c r="AR542" s="1006"/>
      <c r="AS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c r="AA543" s="1006"/>
      <c r="AB543" s="1006"/>
      <c r="AC543" s="1006"/>
      <c r="AD543" s="1006"/>
      <c r="AE543" s="1006"/>
      <c r="AF543" s="1006"/>
      <c r="AG543" s="1006"/>
      <c r="AH543" s="1006"/>
      <c r="AI543" s="1006"/>
      <c r="AJ543" s="1006"/>
      <c r="AK543" s="1006"/>
      <c r="AL543" s="1006"/>
      <c r="AM543" s="1006"/>
      <c r="AN543" s="1006"/>
      <c r="AO543" s="1006"/>
      <c r="AP543" s="1006"/>
      <c r="AQ543" s="1006"/>
      <c r="AR543" s="1006"/>
      <c r="AS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c r="AA544" s="1006"/>
      <c r="AB544" s="1006"/>
      <c r="AC544" s="1006"/>
      <c r="AD544" s="1006"/>
      <c r="AE544" s="1006"/>
      <c r="AF544" s="1006"/>
      <c r="AG544" s="1006"/>
      <c r="AH544" s="1006"/>
      <c r="AI544" s="1006"/>
      <c r="AJ544" s="1006"/>
      <c r="AK544" s="1006"/>
      <c r="AL544" s="1006"/>
      <c r="AM544" s="1006"/>
      <c r="AN544" s="1006"/>
      <c r="AO544" s="1006"/>
      <c r="AP544" s="1006"/>
      <c r="AQ544" s="1006"/>
      <c r="AR544" s="1006"/>
      <c r="AS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c r="AA545" s="1006"/>
      <c r="AB545" s="1006"/>
      <c r="AC545" s="1006"/>
      <c r="AD545" s="1006"/>
      <c r="AE545" s="1006"/>
      <c r="AF545" s="1006"/>
      <c r="AG545" s="1006"/>
      <c r="AH545" s="1006"/>
      <c r="AI545" s="1006"/>
      <c r="AJ545" s="1006"/>
      <c r="AK545" s="1006"/>
      <c r="AL545" s="1006"/>
      <c r="AM545" s="1006"/>
      <c r="AN545" s="1006"/>
      <c r="AO545" s="1006"/>
      <c r="AP545" s="1006"/>
      <c r="AQ545" s="1006"/>
      <c r="AR545" s="1006"/>
      <c r="AS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c r="AA546" s="1006"/>
      <c r="AB546" s="1006"/>
      <c r="AC546" s="1006"/>
      <c r="AD546" s="1006"/>
      <c r="AE546" s="1006"/>
      <c r="AF546" s="1006"/>
      <c r="AG546" s="1006"/>
      <c r="AH546" s="1006"/>
      <c r="AI546" s="1006"/>
      <c r="AJ546" s="1006"/>
      <c r="AK546" s="1006"/>
      <c r="AL546" s="1006"/>
      <c r="AM546" s="1006"/>
      <c r="AN546" s="1006"/>
      <c r="AO546" s="1006"/>
      <c r="AP546" s="1006"/>
      <c r="AQ546" s="1006"/>
      <c r="AR546" s="1006"/>
      <c r="AS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c r="AA547" s="1006"/>
      <c r="AB547" s="1006"/>
      <c r="AC547" s="1006"/>
      <c r="AD547" s="1006"/>
      <c r="AE547" s="1006"/>
      <c r="AF547" s="1006"/>
      <c r="AG547" s="1006"/>
      <c r="AH547" s="1006"/>
      <c r="AI547" s="1006"/>
      <c r="AJ547" s="1006"/>
      <c r="AK547" s="1006"/>
      <c r="AL547" s="1006"/>
      <c r="AM547" s="1006"/>
      <c r="AN547" s="1006"/>
      <c r="AO547" s="1006"/>
      <c r="AP547" s="1006"/>
      <c r="AQ547" s="1006"/>
      <c r="AR547" s="1006"/>
      <c r="AS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c r="AA548" s="1006"/>
      <c r="AB548" s="1006"/>
      <c r="AC548" s="1006"/>
      <c r="AD548" s="1006"/>
      <c r="AE548" s="1006"/>
      <c r="AF548" s="1006"/>
      <c r="AG548" s="1006"/>
      <c r="AH548" s="1006"/>
      <c r="AI548" s="1006"/>
      <c r="AJ548" s="1006"/>
      <c r="AK548" s="1006"/>
      <c r="AL548" s="1006"/>
      <c r="AM548" s="1006"/>
      <c r="AN548" s="1006"/>
      <c r="AO548" s="1006"/>
      <c r="AP548" s="1006"/>
      <c r="AQ548" s="1006"/>
      <c r="AR548" s="1006"/>
      <c r="AS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c r="AA549" s="1006"/>
      <c r="AB549" s="1006"/>
      <c r="AC549" s="1006"/>
      <c r="AD549" s="1006"/>
      <c r="AE549" s="1006"/>
      <c r="AF549" s="1006"/>
      <c r="AG549" s="1006"/>
      <c r="AH549" s="1006"/>
      <c r="AI549" s="1006"/>
      <c r="AJ549" s="1006"/>
      <c r="AK549" s="1006"/>
      <c r="AL549" s="1006"/>
      <c r="AM549" s="1006"/>
      <c r="AN549" s="1006"/>
      <c r="AO549" s="1006"/>
      <c r="AP549" s="1006"/>
      <c r="AQ549" s="1006"/>
      <c r="AR549" s="1006"/>
      <c r="AS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c r="AA550" s="1006"/>
      <c r="AB550" s="1006"/>
      <c r="AC550" s="1006"/>
      <c r="AD550" s="1006"/>
      <c r="AE550" s="1006"/>
      <c r="AF550" s="1006"/>
      <c r="AG550" s="1006"/>
      <c r="AH550" s="1006"/>
      <c r="AI550" s="1006"/>
      <c r="AJ550" s="1006"/>
      <c r="AK550" s="1006"/>
      <c r="AL550" s="1006"/>
      <c r="AM550" s="1006"/>
      <c r="AN550" s="1006"/>
      <c r="AO550" s="1006"/>
      <c r="AP550" s="1006"/>
      <c r="AQ550" s="1006"/>
      <c r="AR550" s="1006"/>
      <c r="AS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c r="AA551" s="1006"/>
      <c r="AB551" s="1006"/>
      <c r="AC551" s="1006"/>
      <c r="AD551" s="1006"/>
      <c r="AE551" s="1006"/>
      <c r="AF551" s="1006"/>
      <c r="AG551" s="1006"/>
      <c r="AH551" s="1006"/>
      <c r="AI551" s="1006"/>
      <c r="AJ551" s="1006"/>
      <c r="AK551" s="1006"/>
      <c r="AL551" s="1006"/>
      <c r="AM551" s="1006"/>
      <c r="AN551" s="1006"/>
      <c r="AO551" s="1006"/>
      <c r="AP551" s="1006"/>
      <c r="AQ551" s="1006"/>
      <c r="AR551" s="1006"/>
      <c r="AS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c r="AA552" s="1006"/>
      <c r="AB552" s="1006"/>
      <c r="AC552" s="1006"/>
      <c r="AD552" s="1006"/>
      <c r="AE552" s="1006"/>
      <c r="AF552" s="1006"/>
      <c r="AG552" s="1006"/>
      <c r="AH552" s="1006"/>
      <c r="AI552" s="1006"/>
      <c r="AJ552" s="1006"/>
      <c r="AK552" s="1006"/>
      <c r="AL552" s="1006"/>
      <c r="AM552" s="1006"/>
      <c r="AN552" s="1006"/>
      <c r="AO552" s="1006"/>
      <c r="AP552" s="1006"/>
      <c r="AQ552" s="1006"/>
      <c r="AR552" s="1006"/>
      <c r="AS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c r="AA553" s="1006"/>
      <c r="AB553" s="1006"/>
      <c r="AC553" s="1006"/>
      <c r="AD553" s="1006"/>
      <c r="AE553" s="1006"/>
      <c r="AF553" s="1006"/>
      <c r="AG553" s="1006"/>
      <c r="AH553" s="1006"/>
      <c r="AI553" s="1006"/>
      <c r="AJ553" s="1006"/>
      <c r="AK553" s="1006"/>
      <c r="AL553" s="1006"/>
      <c r="AM553" s="1006"/>
      <c r="AN553" s="1006"/>
      <c r="AO553" s="1006"/>
      <c r="AP553" s="1006"/>
      <c r="AQ553" s="1006"/>
      <c r="AR553" s="1006"/>
      <c r="AS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c r="AA554" s="1006"/>
      <c r="AB554" s="1006"/>
      <c r="AC554" s="1006"/>
      <c r="AD554" s="1006"/>
      <c r="AE554" s="1006"/>
      <c r="AF554" s="1006"/>
      <c r="AG554" s="1006"/>
      <c r="AH554" s="1006"/>
      <c r="AI554" s="1006"/>
      <c r="AJ554" s="1006"/>
      <c r="AK554" s="1006"/>
      <c r="AL554" s="1006"/>
      <c r="AM554" s="1006"/>
      <c r="AN554" s="1006"/>
      <c r="AO554" s="1006"/>
      <c r="AP554" s="1006"/>
      <c r="AQ554" s="1006"/>
      <c r="AR554" s="1006"/>
      <c r="AS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c r="AA555" s="1006"/>
      <c r="AB555" s="1006"/>
      <c r="AC555" s="1006"/>
      <c r="AD555" s="1006"/>
      <c r="AE555" s="1006"/>
      <c r="AF555" s="1006"/>
      <c r="AG555" s="1006"/>
      <c r="AH555" s="1006"/>
      <c r="AI555" s="1006"/>
      <c r="AJ555" s="1006"/>
      <c r="AK555" s="1006"/>
      <c r="AL555" s="1006"/>
      <c r="AM555" s="1006"/>
      <c r="AN555" s="1006"/>
      <c r="AO555" s="1006"/>
      <c r="AP555" s="1006"/>
      <c r="AQ555" s="1006"/>
      <c r="AR555" s="1006"/>
      <c r="AS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c r="AA556" s="1006"/>
      <c r="AB556" s="1006"/>
      <c r="AC556" s="1006"/>
      <c r="AD556" s="1006"/>
      <c r="AE556" s="1006"/>
      <c r="AF556" s="1006"/>
      <c r="AG556" s="1006"/>
      <c r="AH556" s="1006"/>
      <c r="AI556" s="1006"/>
      <c r="AJ556" s="1006"/>
      <c r="AK556" s="1006"/>
      <c r="AL556" s="1006"/>
      <c r="AM556" s="1006"/>
      <c r="AN556" s="1006"/>
      <c r="AO556" s="1006"/>
      <c r="AP556" s="1006"/>
      <c r="AQ556" s="1006"/>
      <c r="AR556" s="1006"/>
      <c r="AS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c r="AA557" s="1006"/>
      <c r="AB557" s="1006"/>
      <c r="AC557" s="1006"/>
      <c r="AD557" s="1006"/>
      <c r="AE557" s="1006"/>
      <c r="AF557" s="1006"/>
      <c r="AG557" s="1006"/>
      <c r="AH557" s="1006"/>
      <c r="AI557" s="1006"/>
      <c r="AJ557" s="1006"/>
      <c r="AK557" s="1006"/>
      <c r="AL557" s="1006"/>
      <c r="AM557" s="1006"/>
      <c r="AN557" s="1006"/>
      <c r="AO557" s="1006"/>
      <c r="AP557" s="1006"/>
      <c r="AQ557" s="1006"/>
      <c r="AR557" s="1006"/>
      <c r="AS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c r="AA558" s="1006"/>
      <c r="AB558" s="1006"/>
      <c r="AC558" s="1006"/>
      <c r="AD558" s="1006"/>
      <c r="AE558" s="1006"/>
      <c r="AF558" s="1006"/>
      <c r="AG558" s="1006"/>
      <c r="AH558" s="1006"/>
      <c r="AI558" s="1006"/>
      <c r="AJ558" s="1006"/>
      <c r="AK558" s="1006"/>
      <c r="AL558" s="1006"/>
      <c r="AM558" s="1006"/>
      <c r="AN558" s="1006"/>
      <c r="AO558" s="1006"/>
      <c r="AP558" s="1006"/>
      <c r="AQ558" s="1006"/>
      <c r="AR558" s="1006"/>
      <c r="AS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c r="AA559" s="1006"/>
      <c r="AB559" s="1006"/>
      <c r="AC559" s="1006"/>
      <c r="AD559" s="1006"/>
      <c r="AE559" s="1006"/>
      <c r="AF559" s="1006"/>
      <c r="AG559" s="1006"/>
      <c r="AH559" s="1006"/>
      <c r="AI559" s="1006"/>
      <c r="AJ559" s="1006"/>
      <c r="AK559" s="1006"/>
      <c r="AL559" s="1006"/>
      <c r="AM559" s="1006"/>
      <c r="AN559" s="1006"/>
      <c r="AO559" s="1006"/>
      <c r="AP559" s="1006"/>
      <c r="AQ559" s="1006"/>
      <c r="AR559" s="1006"/>
      <c r="AS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c r="AA560" s="1006"/>
      <c r="AB560" s="1006"/>
      <c r="AC560" s="1006"/>
      <c r="AD560" s="1006"/>
      <c r="AE560" s="1006"/>
      <c r="AF560" s="1006"/>
      <c r="AG560" s="1006"/>
      <c r="AH560" s="1006"/>
      <c r="AI560" s="1006"/>
      <c r="AJ560" s="1006"/>
      <c r="AK560" s="1006"/>
      <c r="AL560" s="1006"/>
      <c r="AM560" s="1006"/>
      <c r="AN560" s="1006"/>
      <c r="AO560" s="1006"/>
      <c r="AP560" s="1006"/>
      <c r="AQ560" s="1006"/>
      <c r="AR560" s="1006"/>
      <c r="AS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c r="AA561" s="1006"/>
      <c r="AB561" s="1006"/>
      <c r="AC561" s="1006"/>
      <c r="AD561" s="1006"/>
      <c r="AE561" s="1006"/>
      <c r="AF561" s="1006"/>
      <c r="AG561" s="1006"/>
      <c r="AH561" s="1006"/>
      <c r="AI561" s="1006"/>
      <c r="AJ561" s="1006"/>
      <c r="AK561" s="1006"/>
      <c r="AL561" s="1006"/>
      <c r="AM561" s="1006"/>
      <c r="AN561" s="1006"/>
      <c r="AO561" s="1006"/>
      <c r="AP561" s="1006"/>
      <c r="AQ561" s="1006"/>
      <c r="AR561" s="1006"/>
      <c r="AS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c r="AA562" s="1006"/>
      <c r="AB562" s="1006"/>
      <c r="AC562" s="1006"/>
      <c r="AD562" s="1006"/>
      <c r="AE562" s="1006"/>
      <c r="AF562" s="1006"/>
      <c r="AG562" s="1006"/>
      <c r="AH562" s="1006"/>
      <c r="AI562" s="1006"/>
      <c r="AJ562" s="1006"/>
      <c r="AK562" s="1006"/>
      <c r="AL562" s="1006"/>
      <c r="AM562" s="1006"/>
      <c r="AN562" s="1006"/>
      <c r="AO562" s="1006"/>
      <c r="AP562" s="1006"/>
      <c r="AQ562" s="1006"/>
      <c r="AR562" s="1006"/>
      <c r="AS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c r="AA563" s="1006"/>
      <c r="AB563" s="1006"/>
      <c r="AC563" s="1006"/>
      <c r="AD563" s="1006"/>
      <c r="AE563" s="1006"/>
      <c r="AF563" s="1006"/>
      <c r="AG563" s="1006"/>
      <c r="AH563" s="1006"/>
      <c r="AI563" s="1006"/>
      <c r="AJ563" s="1006"/>
      <c r="AK563" s="1006"/>
      <c r="AL563" s="1006"/>
      <c r="AM563" s="1006"/>
      <c r="AN563" s="1006"/>
      <c r="AO563" s="1006"/>
      <c r="AP563" s="1006"/>
      <c r="AQ563" s="1006"/>
      <c r="AR563" s="1006"/>
      <c r="AS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c r="AA564" s="1006"/>
      <c r="AB564" s="1006"/>
      <c r="AC564" s="1006"/>
      <c r="AD564" s="1006"/>
      <c r="AE564" s="1006"/>
      <c r="AF564" s="1006"/>
      <c r="AG564" s="1006"/>
      <c r="AH564" s="1006"/>
      <c r="AI564" s="1006"/>
      <c r="AJ564" s="1006"/>
      <c r="AK564" s="1006"/>
      <c r="AL564" s="1006"/>
      <c r="AM564" s="1006"/>
      <c r="AN564" s="1006"/>
      <c r="AO564" s="1006"/>
      <c r="AP564" s="1006"/>
      <c r="AQ564" s="1006"/>
      <c r="AR564" s="1006"/>
      <c r="AS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c r="AA565" s="1006"/>
      <c r="AB565" s="1006"/>
      <c r="AC565" s="1006"/>
      <c r="AD565" s="1006"/>
      <c r="AE565" s="1006"/>
      <c r="AF565" s="1006"/>
      <c r="AG565" s="1006"/>
      <c r="AH565" s="1006"/>
      <c r="AI565" s="1006"/>
      <c r="AJ565" s="1006"/>
      <c r="AK565" s="1006"/>
      <c r="AL565" s="1006"/>
      <c r="AM565" s="1006"/>
      <c r="AN565" s="1006"/>
      <c r="AO565" s="1006"/>
      <c r="AP565" s="1006"/>
      <c r="AQ565" s="1006"/>
      <c r="AR565" s="1006"/>
      <c r="AS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c r="AA566" s="1006"/>
      <c r="AB566" s="1006"/>
      <c r="AC566" s="1006"/>
      <c r="AD566" s="1006"/>
      <c r="AE566" s="1006"/>
      <c r="AF566" s="1006"/>
      <c r="AG566" s="1006"/>
      <c r="AH566" s="1006"/>
      <c r="AI566" s="1006"/>
      <c r="AJ566" s="1006"/>
      <c r="AK566" s="1006"/>
      <c r="AL566" s="1006"/>
      <c r="AM566" s="1006"/>
      <c r="AN566" s="1006"/>
      <c r="AO566" s="1006"/>
      <c r="AP566" s="1006"/>
      <c r="AQ566" s="1006"/>
      <c r="AR566" s="1006"/>
      <c r="AS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c r="AA567" s="1006"/>
      <c r="AB567" s="1006"/>
      <c r="AC567" s="1006"/>
      <c r="AD567" s="1006"/>
      <c r="AE567" s="1006"/>
      <c r="AF567" s="1006"/>
      <c r="AG567" s="1006"/>
      <c r="AH567" s="1006"/>
      <c r="AI567" s="1006"/>
      <c r="AJ567" s="1006"/>
      <c r="AK567" s="1006"/>
      <c r="AL567" s="1006"/>
      <c r="AM567" s="1006"/>
      <c r="AN567" s="1006"/>
      <c r="AO567" s="1006"/>
      <c r="AP567" s="1006"/>
      <c r="AQ567" s="1006"/>
      <c r="AR567" s="1006"/>
      <c r="AS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c r="AA568" s="1006"/>
      <c r="AB568" s="1006"/>
      <c r="AC568" s="1006"/>
      <c r="AD568" s="1006"/>
      <c r="AE568" s="1006"/>
      <c r="AF568" s="1006"/>
      <c r="AG568" s="1006"/>
      <c r="AH568" s="1006"/>
      <c r="AI568" s="1006"/>
      <c r="AJ568" s="1006"/>
      <c r="AK568" s="1006"/>
      <c r="AL568" s="1006"/>
      <c r="AM568" s="1006"/>
      <c r="AN568" s="1006"/>
      <c r="AO568" s="1006"/>
      <c r="AP568" s="1006"/>
      <c r="AQ568" s="1006"/>
      <c r="AR568" s="1006"/>
      <c r="AS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c r="AA569" s="1006"/>
      <c r="AB569" s="1006"/>
      <c r="AC569" s="1006"/>
      <c r="AD569" s="1006"/>
      <c r="AE569" s="1006"/>
      <c r="AF569" s="1006"/>
      <c r="AG569" s="1006"/>
      <c r="AH569" s="1006"/>
      <c r="AI569" s="1006"/>
      <c r="AJ569" s="1006"/>
      <c r="AK569" s="1006"/>
      <c r="AL569" s="1006"/>
      <c r="AM569" s="1006"/>
      <c r="AN569" s="1006"/>
      <c r="AO569" s="1006"/>
      <c r="AP569" s="1006"/>
      <c r="AQ569" s="1006"/>
      <c r="AR569" s="1006"/>
      <c r="AS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c r="AA570" s="1006"/>
      <c r="AB570" s="1006"/>
      <c r="AC570" s="1006"/>
      <c r="AD570" s="1006"/>
      <c r="AE570" s="1006"/>
      <c r="AF570" s="1006"/>
      <c r="AG570" s="1006"/>
      <c r="AH570" s="1006"/>
      <c r="AI570" s="1006"/>
      <c r="AJ570" s="1006"/>
      <c r="AK570" s="1006"/>
      <c r="AL570" s="1006"/>
      <c r="AM570" s="1006"/>
      <c r="AN570" s="1006"/>
      <c r="AO570" s="1006"/>
      <c r="AP570" s="1006"/>
      <c r="AQ570" s="1006"/>
      <c r="AR570" s="1006"/>
      <c r="AS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c r="AA571" s="1006"/>
      <c r="AB571" s="1006"/>
      <c r="AC571" s="1006"/>
      <c r="AD571" s="1006"/>
      <c r="AE571" s="1006"/>
      <c r="AF571" s="1006"/>
      <c r="AG571" s="1006"/>
      <c r="AH571" s="1006"/>
      <c r="AI571" s="1006"/>
      <c r="AJ571" s="1006"/>
      <c r="AK571" s="1006"/>
      <c r="AL571" s="1006"/>
      <c r="AM571" s="1006"/>
      <c r="AN571" s="1006"/>
      <c r="AO571" s="1006"/>
      <c r="AP571" s="1006"/>
      <c r="AQ571" s="1006"/>
      <c r="AR571" s="1006"/>
      <c r="AS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c r="AA572" s="1006"/>
      <c r="AB572" s="1006"/>
      <c r="AC572" s="1006"/>
      <c r="AD572" s="1006"/>
      <c r="AE572" s="1006"/>
      <c r="AF572" s="1006"/>
      <c r="AG572" s="1006"/>
      <c r="AH572" s="1006"/>
      <c r="AI572" s="1006"/>
      <c r="AJ572" s="1006"/>
      <c r="AK572" s="1006"/>
      <c r="AL572" s="1006"/>
      <c r="AM572" s="1006"/>
      <c r="AN572" s="1006"/>
      <c r="AO572" s="1006"/>
      <c r="AP572" s="1006"/>
      <c r="AQ572" s="1006"/>
      <c r="AR572" s="1006"/>
      <c r="AS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c r="AA573" s="1006"/>
      <c r="AB573" s="1006"/>
      <c r="AC573" s="1006"/>
      <c r="AD573" s="1006"/>
      <c r="AE573" s="1006"/>
      <c r="AF573" s="1006"/>
      <c r="AG573" s="1006"/>
      <c r="AH573" s="1006"/>
      <c r="AI573" s="1006"/>
      <c r="AJ573" s="1006"/>
      <c r="AK573" s="1006"/>
      <c r="AL573" s="1006"/>
      <c r="AM573" s="1006"/>
      <c r="AN573" s="1006"/>
      <c r="AO573" s="1006"/>
      <c r="AP573" s="1006"/>
      <c r="AQ573" s="1006"/>
      <c r="AR573" s="1006"/>
      <c r="AS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c r="AA574" s="1006"/>
      <c r="AB574" s="1006"/>
      <c r="AC574" s="1006"/>
      <c r="AD574" s="1006"/>
      <c r="AE574" s="1006"/>
      <c r="AF574" s="1006"/>
      <c r="AG574" s="1006"/>
      <c r="AH574" s="1006"/>
      <c r="AI574" s="1006"/>
      <c r="AJ574" s="1006"/>
      <c r="AK574" s="1006"/>
      <c r="AL574" s="1006"/>
      <c r="AM574" s="1006"/>
      <c r="AN574" s="1006"/>
      <c r="AO574" s="1006"/>
      <c r="AP574" s="1006"/>
      <c r="AQ574" s="1006"/>
      <c r="AR574" s="1006"/>
      <c r="AS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c r="AA575" s="1006"/>
      <c r="AB575" s="1006"/>
      <c r="AC575" s="1006"/>
      <c r="AD575" s="1006"/>
      <c r="AE575" s="1006"/>
      <c r="AF575" s="1006"/>
      <c r="AG575" s="1006"/>
      <c r="AH575" s="1006"/>
      <c r="AI575" s="1006"/>
      <c r="AJ575" s="1006"/>
      <c r="AK575" s="1006"/>
      <c r="AL575" s="1006"/>
      <c r="AM575" s="1006"/>
      <c r="AN575" s="1006"/>
      <c r="AO575" s="1006"/>
      <c r="AP575" s="1006"/>
      <c r="AQ575" s="1006"/>
      <c r="AR575" s="1006"/>
      <c r="AS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c r="AA576" s="1006"/>
      <c r="AB576" s="1006"/>
      <c r="AC576" s="1006"/>
      <c r="AD576" s="1006"/>
      <c r="AE576" s="1006"/>
      <c r="AF576" s="1006"/>
      <c r="AG576" s="1006"/>
      <c r="AH576" s="1006"/>
      <c r="AI576" s="1006"/>
      <c r="AJ576" s="1006"/>
      <c r="AK576" s="1006"/>
      <c r="AL576" s="1006"/>
      <c r="AM576" s="1006"/>
      <c r="AN576" s="1006"/>
      <c r="AO576" s="1006"/>
      <c r="AP576" s="1006"/>
      <c r="AQ576" s="1006"/>
      <c r="AR576" s="1006"/>
      <c r="AS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c r="AA577" s="1006"/>
      <c r="AB577" s="1006"/>
      <c r="AC577" s="1006"/>
      <c r="AD577" s="1006"/>
      <c r="AE577" s="1006"/>
      <c r="AF577" s="1006"/>
      <c r="AG577" s="1006"/>
      <c r="AH577" s="1006"/>
      <c r="AI577" s="1006"/>
      <c r="AJ577" s="1006"/>
      <c r="AK577" s="1006"/>
      <c r="AL577" s="1006"/>
      <c r="AM577" s="1006"/>
      <c r="AN577" s="1006"/>
      <c r="AO577" s="1006"/>
      <c r="AP577" s="1006"/>
      <c r="AQ577" s="1006"/>
      <c r="AR577" s="1006"/>
      <c r="AS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c r="AA578" s="1006"/>
      <c r="AB578" s="1006"/>
      <c r="AC578" s="1006"/>
      <c r="AD578" s="1006"/>
      <c r="AE578" s="1006"/>
      <c r="AF578" s="1006"/>
      <c r="AG578" s="1006"/>
      <c r="AH578" s="1006"/>
      <c r="AI578" s="1006"/>
      <c r="AJ578" s="1006"/>
      <c r="AK578" s="1006"/>
      <c r="AL578" s="1006"/>
      <c r="AM578" s="1006"/>
      <c r="AN578" s="1006"/>
      <c r="AO578" s="1006"/>
      <c r="AP578" s="1006"/>
      <c r="AQ578" s="1006"/>
      <c r="AR578" s="1006"/>
      <c r="AS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c r="AA579" s="1006"/>
      <c r="AB579" s="1006"/>
      <c r="AC579" s="1006"/>
      <c r="AD579" s="1006"/>
      <c r="AE579" s="1006"/>
      <c r="AF579" s="1006"/>
      <c r="AG579" s="1006"/>
      <c r="AH579" s="1006"/>
      <c r="AI579" s="1006"/>
      <c r="AJ579" s="1006"/>
      <c r="AK579" s="1006"/>
      <c r="AL579" s="1006"/>
      <c r="AM579" s="1006"/>
      <c r="AN579" s="1006"/>
      <c r="AO579" s="1006"/>
      <c r="AP579" s="1006"/>
      <c r="AQ579" s="1006"/>
      <c r="AR579" s="1006"/>
      <c r="AS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c r="AA580" s="1006"/>
      <c r="AB580" s="1006"/>
      <c r="AC580" s="1006"/>
      <c r="AD580" s="1006"/>
      <c r="AE580" s="1006"/>
      <c r="AF580" s="1006"/>
      <c r="AG580" s="1006"/>
      <c r="AH580" s="1006"/>
      <c r="AI580" s="1006"/>
      <c r="AJ580" s="1006"/>
      <c r="AK580" s="1006"/>
      <c r="AL580" s="1006"/>
      <c r="AM580" s="1006"/>
      <c r="AN580" s="1006"/>
      <c r="AO580" s="1006"/>
      <c r="AP580" s="1006"/>
      <c r="AQ580" s="1006"/>
      <c r="AR580" s="1006"/>
      <c r="AS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c r="AA581" s="1006"/>
      <c r="AB581" s="1006"/>
      <c r="AC581" s="1006"/>
      <c r="AD581" s="1006"/>
      <c r="AE581" s="1006"/>
      <c r="AF581" s="1006"/>
      <c r="AG581" s="1006"/>
      <c r="AH581" s="1006"/>
      <c r="AI581" s="1006"/>
      <c r="AJ581" s="1006"/>
      <c r="AK581" s="1006"/>
      <c r="AL581" s="1006"/>
      <c r="AM581" s="1006"/>
      <c r="AN581" s="1006"/>
      <c r="AO581" s="1006"/>
      <c r="AP581" s="1006"/>
      <c r="AQ581" s="1006"/>
      <c r="AR581" s="1006"/>
      <c r="AS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c r="AA582" s="1006"/>
      <c r="AB582" s="1006"/>
      <c r="AC582" s="1006"/>
      <c r="AD582" s="1006"/>
      <c r="AE582" s="1006"/>
      <c r="AF582" s="1006"/>
      <c r="AG582" s="1006"/>
      <c r="AH582" s="1006"/>
      <c r="AI582" s="1006"/>
      <c r="AJ582" s="1006"/>
      <c r="AK582" s="1006"/>
      <c r="AL582" s="1006"/>
      <c r="AM582" s="1006"/>
      <c r="AN582" s="1006"/>
      <c r="AO582" s="1006"/>
      <c r="AP582" s="1006"/>
      <c r="AQ582" s="1006"/>
      <c r="AR582" s="1006"/>
      <c r="AS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c r="AA583" s="1006"/>
      <c r="AB583" s="1006"/>
      <c r="AC583" s="1006"/>
      <c r="AD583" s="1006"/>
      <c r="AE583" s="1006"/>
      <c r="AF583" s="1006"/>
      <c r="AG583" s="1006"/>
      <c r="AH583" s="1006"/>
      <c r="AI583" s="1006"/>
      <c r="AJ583" s="1006"/>
      <c r="AK583" s="1006"/>
      <c r="AL583" s="1006"/>
      <c r="AM583" s="1006"/>
      <c r="AN583" s="1006"/>
      <c r="AO583" s="1006"/>
      <c r="AP583" s="1006"/>
      <c r="AQ583" s="1006"/>
      <c r="AR583" s="1006"/>
      <c r="AS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c r="AA584" s="1006"/>
      <c r="AB584" s="1006"/>
      <c r="AC584" s="1006"/>
      <c r="AD584" s="1006"/>
      <c r="AE584" s="1006"/>
      <c r="AF584" s="1006"/>
      <c r="AG584" s="1006"/>
      <c r="AH584" s="1006"/>
      <c r="AI584" s="1006"/>
      <c r="AJ584" s="1006"/>
      <c r="AK584" s="1006"/>
      <c r="AL584" s="1006"/>
      <c r="AM584" s="1006"/>
      <c r="AN584" s="1006"/>
      <c r="AO584" s="1006"/>
      <c r="AP584" s="1006"/>
      <c r="AQ584" s="1006"/>
      <c r="AR584" s="1006"/>
      <c r="AS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c r="AA585" s="1006"/>
      <c r="AB585" s="1006"/>
      <c r="AC585" s="1006"/>
      <c r="AD585" s="1006"/>
      <c r="AE585" s="1006"/>
      <c r="AF585" s="1006"/>
      <c r="AG585" s="1006"/>
      <c r="AH585" s="1006"/>
      <c r="AI585" s="1006"/>
      <c r="AJ585" s="1006"/>
      <c r="AK585" s="1006"/>
      <c r="AL585" s="1006"/>
      <c r="AM585" s="1006"/>
      <c r="AN585" s="1006"/>
      <c r="AO585" s="1006"/>
      <c r="AP585" s="1006"/>
      <c r="AQ585" s="1006"/>
      <c r="AR585" s="1006"/>
      <c r="AS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c r="AA586" s="1006"/>
      <c r="AB586" s="1006"/>
      <c r="AC586" s="1006"/>
      <c r="AD586" s="1006"/>
      <c r="AE586" s="1006"/>
      <c r="AF586" s="1006"/>
      <c r="AG586" s="1006"/>
      <c r="AH586" s="1006"/>
      <c r="AI586" s="1006"/>
      <c r="AJ586" s="1006"/>
      <c r="AK586" s="1006"/>
      <c r="AL586" s="1006"/>
      <c r="AM586" s="1006"/>
      <c r="AN586" s="1006"/>
      <c r="AO586" s="1006"/>
      <c r="AP586" s="1006"/>
      <c r="AQ586" s="1006"/>
      <c r="AR586" s="1006"/>
      <c r="AS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c r="AA587" s="1006"/>
      <c r="AB587" s="1006"/>
      <c r="AC587" s="1006"/>
      <c r="AD587" s="1006"/>
      <c r="AE587" s="1006"/>
      <c r="AF587" s="1006"/>
      <c r="AG587" s="1006"/>
      <c r="AH587" s="1006"/>
      <c r="AI587" s="1006"/>
      <c r="AJ587" s="1006"/>
      <c r="AK587" s="1006"/>
      <c r="AL587" s="1006"/>
      <c r="AM587" s="1006"/>
      <c r="AN587" s="1006"/>
      <c r="AO587" s="1006"/>
      <c r="AP587" s="1006"/>
      <c r="AQ587" s="1006"/>
      <c r="AR587" s="1006"/>
      <c r="AS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c r="AA588" s="1006"/>
      <c r="AB588" s="1006"/>
      <c r="AC588" s="1006"/>
      <c r="AD588" s="1006"/>
      <c r="AE588" s="1006"/>
      <c r="AF588" s="1006"/>
      <c r="AG588" s="1006"/>
      <c r="AH588" s="1006"/>
      <c r="AI588" s="1006"/>
      <c r="AJ588" s="1006"/>
      <c r="AK588" s="1006"/>
      <c r="AL588" s="1006"/>
      <c r="AM588" s="1006"/>
      <c r="AN588" s="1006"/>
      <c r="AO588" s="1006"/>
      <c r="AP588" s="1006"/>
      <c r="AQ588" s="1006"/>
      <c r="AR588" s="1006"/>
      <c r="AS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c r="AA589" s="1006"/>
      <c r="AB589" s="1006"/>
      <c r="AC589" s="1006"/>
      <c r="AD589" s="1006"/>
      <c r="AE589" s="1006"/>
      <c r="AF589" s="1006"/>
      <c r="AG589" s="1006"/>
      <c r="AH589" s="1006"/>
      <c r="AI589" s="1006"/>
      <c r="AJ589" s="1006"/>
      <c r="AK589" s="1006"/>
      <c r="AL589" s="1006"/>
      <c r="AM589" s="1006"/>
      <c r="AN589" s="1006"/>
      <c r="AO589" s="1006"/>
      <c r="AP589" s="1006"/>
      <c r="AQ589" s="1006"/>
      <c r="AR589" s="1006"/>
      <c r="AS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c r="AA590" s="1006"/>
      <c r="AB590" s="1006"/>
      <c r="AC590" s="1006"/>
      <c r="AD590" s="1006"/>
      <c r="AE590" s="1006"/>
      <c r="AF590" s="1006"/>
      <c r="AG590" s="1006"/>
      <c r="AH590" s="1006"/>
      <c r="AI590" s="1006"/>
      <c r="AJ590" s="1006"/>
      <c r="AK590" s="1006"/>
      <c r="AL590" s="1006"/>
      <c r="AM590" s="1006"/>
      <c r="AN590" s="1006"/>
      <c r="AO590" s="1006"/>
      <c r="AP590" s="1006"/>
      <c r="AQ590" s="1006"/>
      <c r="AR590" s="1006"/>
      <c r="AS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c r="AA591" s="1006"/>
      <c r="AB591" s="1006"/>
      <c r="AC591" s="1006"/>
      <c r="AD591" s="1006"/>
      <c r="AE591" s="1006"/>
      <c r="AF591" s="1006"/>
      <c r="AG591" s="1006"/>
      <c r="AH591" s="1006"/>
      <c r="AI591" s="1006"/>
      <c r="AJ591" s="1006"/>
      <c r="AK591" s="1006"/>
      <c r="AL591" s="1006"/>
      <c r="AM591" s="1006"/>
      <c r="AN591" s="1006"/>
      <c r="AO591" s="1006"/>
      <c r="AP591" s="1006"/>
      <c r="AQ591" s="1006"/>
      <c r="AR591" s="1006"/>
      <c r="AS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c r="AA592" s="1006"/>
      <c r="AB592" s="1006"/>
      <c r="AC592" s="1006"/>
      <c r="AD592" s="1006"/>
      <c r="AE592" s="1006"/>
      <c r="AF592" s="1006"/>
      <c r="AG592" s="1006"/>
      <c r="AH592" s="1006"/>
      <c r="AI592" s="1006"/>
      <c r="AJ592" s="1006"/>
      <c r="AK592" s="1006"/>
      <c r="AL592" s="1006"/>
      <c r="AM592" s="1006"/>
      <c r="AN592" s="1006"/>
      <c r="AO592" s="1006"/>
      <c r="AP592" s="1006"/>
      <c r="AQ592" s="1006"/>
      <c r="AR592" s="1006"/>
      <c r="AS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c r="AA593" s="1006"/>
      <c r="AB593" s="1006"/>
      <c r="AC593" s="1006"/>
      <c r="AD593" s="1006"/>
      <c r="AE593" s="1006"/>
      <c r="AF593" s="1006"/>
      <c r="AG593" s="1006"/>
      <c r="AH593" s="1006"/>
      <c r="AI593" s="1006"/>
      <c r="AJ593" s="1006"/>
      <c r="AK593" s="1006"/>
      <c r="AL593" s="1006"/>
      <c r="AM593" s="1006"/>
      <c r="AN593" s="1006"/>
      <c r="AO593" s="1006"/>
      <c r="AP593" s="1006"/>
      <c r="AQ593" s="1006"/>
      <c r="AR593" s="1006"/>
      <c r="AS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c r="AA594" s="1006"/>
      <c r="AB594" s="1006"/>
      <c r="AC594" s="1006"/>
      <c r="AD594" s="1006"/>
      <c r="AE594" s="1006"/>
      <c r="AF594" s="1006"/>
      <c r="AG594" s="1006"/>
      <c r="AH594" s="1006"/>
      <c r="AI594" s="1006"/>
      <c r="AJ594" s="1006"/>
      <c r="AK594" s="1006"/>
      <c r="AL594" s="1006"/>
      <c r="AM594" s="1006"/>
      <c r="AN594" s="1006"/>
      <c r="AO594" s="1006"/>
      <c r="AP594" s="1006"/>
      <c r="AQ594" s="1006"/>
      <c r="AR594" s="1006"/>
      <c r="AS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c r="AA595" s="1006"/>
      <c r="AB595" s="1006"/>
      <c r="AC595" s="1006"/>
      <c r="AD595" s="1006"/>
      <c r="AE595" s="1006"/>
      <c r="AF595" s="1006"/>
      <c r="AG595" s="1006"/>
      <c r="AH595" s="1006"/>
      <c r="AI595" s="1006"/>
      <c r="AJ595" s="1006"/>
      <c r="AK595" s="1006"/>
      <c r="AL595" s="1006"/>
      <c r="AM595" s="1006"/>
      <c r="AN595" s="1006"/>
      <c r="AO595" s="1006"/>
      <c r="AP595" s="1006"/>
      <c r="AQ595" s="1006"/>
      <c r="AR595" s="1006"/>
      <c r="AS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c r="AA596" s="1006"/>
      <c r="AB596" s="1006"/>
      <c r="AC596" s="1006"/>
      <c r="AD596" s="1006"/>
      <c r="AE596" s="1006"/>
      <c r="AF596" s="1006"/>
      <c r="AG596" s="1006"/>
      <c r="AH596" s="1006"/>
      <c r="AI596" s="1006"/>
      <c r="AJ596" s="1006"/>
      <c r="AK596" s="1006"/>
      <c r="AL596" s="1006"/>
      <c r="AM596" s="1006"/>
      <c r="AN596" s="1006"/>
      <c r="AO596" s="1006"/>
      <c r="AP596" s="1006"/>
      <c r="AQ596" s="1006"/>
      <c r="AR596" s="1006"/>
      <c r="AS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c r="AA597" s="1006"/>
      <c r="AB597" s="1006"/>
      <c r="AC597" s="1006"/>
      <c r="AD597" s="1006"/>
      <c r="AE597" s="1006"/>
      <c r="AF597" s="1006"/>
      <c r="AG597" s="1006"/>
      <c r="AH597" s="1006"/>
      <c r="AI597" s="1006"/>
      <c r="AJ597" s="1006"/>
      <c r="AK597" s="1006"/>
      <c r="AL597" s="1006"/>
      <c r="AM597" s="1006"/>
      <c r="AN597" s="1006"/>
      <c r="AO597" s="1006"/>
      <c r="AP597" s="1006"/>
      <c r="AQ597" s="1006"/>
      <c r="AR597" s="1006"/>
      <c r="AS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c r="AA598" s="1006"/>
      <c r="AB598" s="1006"/>
      <c r="AC598" s="1006"/>
      <c r="AD598" s="1006"/>
      <c r="AE598" s="1006"/>
      <c r="AF598" s="1006"/>
      <c r="AG598" s="1006"/>
      <c r="AH598" s="1006"/>
      <c r="AI598" s="1006"/>
      <c r="AJ598" s="1006"/>
      <c r="AK598" s="1006"/>
      <c r="AL598" s="1006"/>
      <c r="AM598" s="1006"/>
      <c r="AN598" s="1006"/>
      <c r="AO598" s="1006"/>
      <c r="AP598" s="1006"/>
      <c r="AQ598" s="1006"/>
      <c r="AR598" s="1006"/>
      <c r="AS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c r="AA599" s="1006"/>
      <c r="AB599" s="1006"/>
      <c r="AC599" s="1006"/>
      <c r="AD599" s="1006"/>
      <c r="AE599" s="1006"/>
      <c r="AF599" s="1006"/>
      <c r="AG599" s="1006"/>
      <c r="AH599" s="1006"/>
      <c r="AI599" s="1006"/>
      <c r="AJ599" s="1006"/>
      <c r="AK599" s="1006"/>
      <c r="AL599" s="1006"/>
      <c r="AM599" s="1006"/>
      <c r="AN599" s="1006"/>
      <c r="AO599" s="1006"/>
      <c r="AP599" s="1006"/>
      <c r="AQ599" s="1006"/>
      <c r="AR599" s="1006"/>
      <c r="AS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c r="AA600" s="1006"/>
      <c r="AB600" s="1006"/>
      <c r="AC600" s="1006"/>
      <c r="AD600" s="1006"/>
      <c r="AE600" s="1006"/>
      <c r="AF600" s="1006"/>
      <c r="AG600" s="1006"/>
      <c r="AH600" s="1006"/>
      <c r="AI600" s="1006"/>
      <c r="AJ600" s="1006"/>
      <c r="AK600" s="1006"/>
      <c r="AL600" s="1006"/>
      <c r="AM600" s="1006"/>
      <c r="AN600" s="1006"/>
      <c r="AO600" s="1006"/>
      <c r="AP600" s="1006"/>
      <c r="AQ600" s="1006"/>
      <c r="AR600" s="1006"/>
      <c r="AS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c r="AA601" s="1006"/>
      <c r="AB601" s="1006"/>
      <c r="AC601" s="1006"/>
      <c r="AD601" s="1006"/>
      <c r="AE601" s="1006"/>
      <c r="AF601" s="1006"/>
      <c r="AG601" s="1006"/>
      <c r="AH601" s="1006"/>
      <c r="AI601" s="1006"/>
      <c r="AJ601" s="1006"/>
      <c r="AK601" s="1006"/>
      <c r="AL601" s="1006"/>
      <c r="AM601" s="1006"/>
      <c r="AN601" s="1006"/>
      <c r="AO601" s="1006"/>
      <c r="AP601" s="1006"/>
      <c r="AQ601" s="1006"/>
      <c r="AR601" s="1006"/>
      <c r="AS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c r="AA602" s="1006"/>
      <c r="AB602" s="1006"/>
      <c r="AC602" s="1006"/>
      <c r="AD602" s="1006"/>
      <c r="AE602" s="1006"/>
      <c r="AF602" s="1006"/>
      <c r="AG602" s="1006"/>
      <c r="AH602" s="1006"/>
      <c r="AI602" s="1006"/>
      <c r="AJ602" s="1006"/>
      <c r="AK602" s="1006"/>
      <c r="AL602" s="1006"/>
      <c r="AM602" s="1006"/>
      <c r="AN602" s="1006"/>
      <c r="AO602" s="1006"/>
      <c r="AP602" s="1006"/>
      <c r="AQ602" s="1006"/>
      <c r="AR602" s="1006"/>
      <c r="AS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c r="AA603" s="1006"/>
      <c r="AB603" s="1006"/>
      <c r="AC603" s="1006"/>
      <c r="AD603" s="1006"/>
      <c r="AE603" s="1006"/>
      <c r="AF603" s="1006"/>
      <c r="AG603" s="1006"/>
      <c r="AH603" s="1006"/>
      <c r="AI603" s="1006"/>
      <c r="AJ603" s="1006"/>
      <c r="AK603" s="1006"/>
      <c r="AL603" s="1006"/>
      <c r="AM603" s="1006"/>
      <c r="AN603" s="1006"/>
      <c r="AO603" s="1006"/>
      <c r="AP603" s="1006"/>
      <c r="AQ603" s="1006"/>
      <c r="AR603" s="1006"/>
      <c r="AS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c r="AA604" s="1006"/>
      <c r="AB604" s="1006"/>
      <c r="AC604" s="1006"/>
      <c r="AD604" s="1006"/>
      <c r="AE604" s="1006"/>
      <c r="AF604" s="1006"/>
      <c r="AG604" s="1006"/>
      <c r="AH604" s="1006"/>
      <c r="AI604" s="1006"/>
      <c r="AJ604" s="1006"/>
      <c r="AK604" s="1006"/>
      <c r="AL604" s="1006"/>
      <c r="AM604" s="1006"/>
      <c r="AN604" s="1006"/>
      <c r="AO604" s="1006"/>
      <c r="AP604" s="1006"/>
      <c r="AQ604" s="1006"/>
      <c r="AR604" s="1006"/>
      <c r="AS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c r="AA605" s="1006"/>
      <c r="AB605" s="1006"/>
      <c r="AC605" s="1006"/>
      <c r="AD605" s="1006"/>
      <c r="AE605" s="1006"/>
      <c r="AF605" s="1006"/>
      <c r="AG605" s="1006"/>
      <c r="AH605" s="1006"/>
      <c r="AI605" s="1006"/>
      <c r="AJ605" s="1006"/>
      <c r="AK605" s="1006"/>
      <c r="AL605" s="1006"/>
      <c r="AM605" s="1006"/>
      <c r="AN605" s="1006"/>
      <c r="AO605" s="1006"/>
      <c r="AP605" s="1006"/>
      <c r="AQ605" s="1006"/>
      <c r="AR605" s="1006"/>
      <c r="AS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c r="AA606" s="1006"/>
      <c r="AB606" s="1006"/>
      <c r="AC606" s="1006"/>
      <c r="AD606" s="1006"/>
      <c r="AE606" s="1006"/>
      <c r="AF606" s="1006"/>
      <c r="AG606" s="1006"/>
      <c r="AH606" s="1006"/>
      <c r="AI606" s="1006"/>
      <c r="AJ606" s="1006"/>
      <c r="AK606" s="1006"/>
      <c r="AL606" s="1006"/>
      <c r="AM606" s="1006"/>
      <c r="AN606" s="1006"/>
      <c r="AO606" s="1006"/>
      <c r="AP606" s="1006"/>
      <c r="AQ606" s="1006"/>
      <c r="AR606" s="1006"/>
      <c r="AS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c r="AA607" s="1006"/>
      <c r="AB607" s="1006"/>
      <c r="AC607" s="1006"/>
      <c r="AD607" s="1006"/>
      <c r="AE607" s="1006"/>
      <c r="AF607" s="1006"/>
      <c r="AG607" s="1006"/>
      <c r="AH607" s="1006"/>
      <c r="AI607" s="1006"/>
      <c r="AJ607" s="1006"/>
      <c r="AK607" s="1006"/>
      <c r="AL607" s="1006"/>
      <c r="AM607" s="1006"/>
      <c r="AN607" s="1006"/>
      <c r="AO607" s="1006"/>
      <c r="AP607" s="1006"/>
      <c r="AQ607" s="1006"/>
      <c r="AR607" s="1006"/>
      <c r="AS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c r="AA608" s="1006"/>
      <c r="AB608" s="1006"/>
      <c r="AC608" s="1006"/>
      <c r="AD608" s="1006"/>
      <c r="AE608" s="1006"/>
      <c r="AF608" s="1006"/>
      <c r="AG608" s="1006"/>
      <c r="AH608" s="1006"/>
      <c r="AI608" s="1006"/>
      <c r="AJ608" s="1006"/>
      <c r="AK608" s="1006"/>
      <c r="AL608" s="1006"/>
      <c r="AM608" s="1006"/>
      <c r="AN608" s="1006"/>
      <c r="AO608" s="1006"/>
      <c r="AP608" s="1006"/>
      <c r="AQ608" s="1006"/>
      <c r="AR608" s="1006"/>
      <c r="AS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c r="AA609" s="1006"/>
      <c r="AB609" s="1006"/>
      <c r="AC609" s="1006"/>
      <c r="AD609" s="1006"/>
      <c r="AE609" s="1006"/>
      <c r="AF609" s="1006"/>
      <c r="AG609" s="1006"/>
      <c r="AH609" s="1006"/>
      <c r="AI609" s="1006"/>
      <c r="AJ609" s="1006"/>
      <c r="AK609" s="1006"/>
      <c r="AL609" s="1006"/>
      <c r="AM609" s="1006"/>
      <c r="AN609" s="1006"/>
      <c r="AO609" s="1006"/>
      <c r="AP609" s="1006"/>
      <c r="AQ609" s="1006"/>
      <c r="AR609" s="1006"/>
      <c r="AS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c r="AA610" s="1006"/>
      <c r="AB610" s="1006"/>
      <c r="AC610" s="1006"/>
      <c r="AD610" s="1006"/>
      <c r="AE610" s="1006"/>
      <c r="AF610" s="1006"/>
      <c r="AG610" s="1006"/>
      <c r="AH610" s="1006"/>
      <c r="AI610" s="1006"/>
      <c r="AJ610" s="1006"/>
      <c r="AK610" s="1006"/>
      <c r="AL610" s="1006"/>
      <c r="AM610" s="1006"/>
      <c r="AN610" s="1006"/>
      <c r="AO610" s="1006"/>
      <c r="AP610" s="1006"/>
      <c r="AQ610" s="1006"/>
      <c r="AR610" s="1006"/>
      <c r="AS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c r="AA611" s="1006"/>
      <c r="AB611" s="1006"/>
      <c r="AC611" s="1006"/>
      <c r="AD611" s="1006"/>
      <c r="AE611" s="1006"/>
      <c r="AF611" s="1006"/>
      <c r="AG611" s="1006"/>
      <c r="AH611" s="1006"/>
      <c r="AI611" s="1006"/>
      <c r="AJ611" s="1006"/>
      <c r="AK611" s="1006"/>
      <c r="AL611" s="1006"/>
      <c r="AM611" s="1006"/>
      <c r="AN611" s="1006"/>
      <c r="AO611" s="1006"/>
      <c r="AP611" s="1006"/>
      <c r="AQ611" s="1006"/>
      <c r="AR611" s="1006"/>
      <c r="AS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c r="AA612" s="1006"/>
      <c r="AB612" s="1006"/>
      <c r="AC612" s="1006"/>
      <c r="AD612" s="1006"/>
      <c r="AE612" s="1006"/>
      <c r="AF612" s="1006"/>
      <c r="AG612" s="1006"/>
      <c r="AH612" s="1006"/>
      <c r="AI612" s="1006"/>
      <c r="AJ612" s="1006"/>
      <c r="AK612" s="1006"/>
      <c r="AL612" s="1006"/>
      <c r="AM612" s="1006"/>
      <c r="AN612" s="1006"/>
      <c r="AO612" s="1006"/>
      <c r="AP612" s="1006"/>
      <c r="AQ612" s="1006"/>
      <c r="AR612" s="1006"/>
      <c r="AS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c r="AA613" s="1006"/>
      <c r="AB613" s="1006"/>
      <c r="AC613" s="1006"/>
      <c r="AD613" s="1006"/>
      <c r="AE613" s="1006"/>
      <c r="AF613" s="1006"/>
      <c r="AG613" s="1006"/>
      <c r="AH613" s="1006"/>
      <c r="AI613" s="1006"/>
      <c r="AJ613" s="1006"/>
      <c r="AK613" s="1006"/>
      <c r="AL613" s="1006"/>
      <c r="AM613" s="1006"/>
      <c r="AN613" s="1006"/>
      <c r="AO613" s="1006"/>
      <c r="AP613" s="1006"/>
      <c r="AQ613" s="1006"/>
      <c r="AR613" s="1006"/>
      <c r="AS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c r="AA614" s="1006"/>
      <c r="AB614" s="1006"/>
      <c r="AC614" s="1006"/>
      <c r="AD614" s="1006"/>
      <c r="AE614" s="1006"/>
      <c r="AF614" s="1006"/>
      <c r="AG614" s="1006"/>
      <c r="AH614" s="1006"/>
      <c r="AI614" s="1006"/>
      <c r="AJ614" s="1006"/>
      <c r="AK614" s="1006"/>
      <c r="AL614" s="1006"/>
      <c r="AM614" s="1006"/>
      <c r="AN614" s="1006"/>
      <c r="AO614" s="1006"/>
      <c r="AP614" s="1006"/>
      <c r="AQ614" s="1006"/>
      <c r="AR614" s="1006"/>
      <c r="AS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c r="AA615" s="1006"/>
      <c r="AB615" s="1006"/>
      <c r="AC615" s="1006"/>
      <c r="AD615" s="1006"/>
      <c r="AE615" s="1006"/>
      <c r="AF615" s="1006"/>
      <c r="AG615" s="1006"/>
      <c r="AH615" s="1006"/>
      <c r="AI615" s="1006"/>
      <c r="AJ615" s="1006"/>
      <c r="AK615" s="1006"/>
      <c r="AL615" s="1006"/>
      <c r="AM615" s="1006"/>
      <c r="AN615" s="1006"/>
      <c r="AO615" s="1006"/>
      <c r="AP615" s="1006"/>
      <c r="AQ615" s="1006"/>
      <c r="AR615" s="1006"/>
      <c r="AS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c r="AA616" s="1006"/>
      <c r="AB616" s="1006"/>
      <c r="AC616" s="1006"/>
      <c r="AD616" s="1006"/>
      <c r="AE616" s="1006"/>
      <c r="AF616" s="1006"/>
      <c r="AG616" s="1006"/>
      <c r="AH616" s="1006"/>
      <c r="AI616" s="1006"/>
      <c r="AJ616" s="1006"/>
      <c r="AK616" s="1006"/>
      <c r="AL616" s="1006"/>
      <c r="AM616" s="1006"/>
      <c r="AN616" s="1006"/>
      <c r="AO616" s="1006"/>
      <c r="AP616" s="1006"/>
      <c r="AQ616" s="1006"/>
      <c r="AR616" s="1006"/>
      <c r="AS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c r="AA617" s="1006"/>
      <c r="AB617" s="1006"/>
      <c r="AC617" s="1006"/>
      <c r="AD617" s="1006"/>
      <c r="AE617" s="1006"/>
      <c r="AF617" s="1006"/>
      <c r="AG617" s="1006"/>
      <c r="AH617" s="1006"/>
      <c r="AI617" s="1006"/>
      <c r="AJ617" s="1006"/>
      <c r="AK617" s="1006"/>
      <c r="AL617" s="1006"/>
      <c r="AM617" s="1006"/>
      <c r="AN617" s="1006"/>
      <c r="AO617" s="1006"/>
      <c r="AP617" s="1006"/>
      <c r="AQ617" s="1006"/>
      <c r="AR617" s="1006"/>
      <c r="AS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c r="AA618" s="1006"/>
      <c r="AB618" s="1006"/>
      <c r="AC618" s="1006"/>
      <c r="AD618" s="1006"/>
      <c r="AE618" s="1006"/>
      <c r="AF618" s="1006"/>
      <c r="AG618" s="1006"/>
      <c r="AH618" s="1006"/>
      <c r="AI618" s="1006"/>
      <c r="AJ618" s="1006"/>
      <c r="AK618" s="1006"/>
      <c r="AL618" s="1006"/>
      <c r="AM618" s="1006"/>
      <c r="AN618" s="1006"/>
      <c r="AO618" s="1006"/>
      <c r="AP618" s="1006"/>
      <c r="AQ618" s="1006"/>
      <c r="AR618" s="1006"/>
      <c r="AS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c r="AA619" s="1006"/>
      <c r="AB619" s="1006"/>
      <c r="AC619" s="1006"/>
      <c r="AD619" s="1006"/>
      <c r="AE619" s="1006"/>
      <c r="AF619" s="1006"/>
      <c r="AG619" s="1006"/>
      <c r="AH619" s="1006"/>
      <c r="AI619" s="1006"/>
      <c r="AJ619" s="1006"/>
      <c r="AK619" s="1006"/>
      <c r="AL619" s="1006"/>
      <c r="AM619" s="1006"/>
      <c r="AN619" s="1006"/>
      <c r="AO619" s="1006"/>
      <c r="AP619" s="1006"/>
      <c r="AQ619" s="1006"/>
      <c r="AR619" s="1006"/>
      <c r="AS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c r="AA620" s="1006"/>
      <c r="AB620" s="1006"/>
      <c r="AC620" s="1006"/>
      <c r="AD620" s="1006"/>
      <c r="AE620" s="1006"/>
      <c r="AF620" s="1006"/>
      <c r="AG620" s="1006"/>
      <c r="AH620" s="1006"/>
      <c r="AI620" s="1006"/>
      <c r="AJ620" s="1006"/>
      <c r="AK620" s="1006"/>
      <c r="AL620" s="1006"/>
      <c r="AM620" s="1006"/>
      <c r="AN620" s="1006"/>
      <c r="AO620" s="1006"/>
      <c r="AP620" s="1006"/>
      <c r="AQ620" s="1006"/>
      <c r="AR620" s="1006"/>
      <c r="AS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c r="AA621" s="1006"/>
      <c r="AB621" s="1006"/>
      <c r="AC621" s="1006"/>
      <c r="AD621" s="1006"/>
      <c r="AE621" s="1006"/>
      <c r="AF621" s="1006"/>
      <c r="AG621" s="1006"/>
      <c r="AH621" s="1006"/>
      <c r="AI621" s="1006"/>
      <c r="AJ621" s="1006"/>
      <c r="AK621" s="1006"/>
      <c r="AL621" s="1006"/>
      <c r="AM621" s="1006"/>
      <c r="AN621" s="1006"/>
      <c r="AO621" s="1006"/>
      <c r="AP621" s="1006"/>
      <c r="AQ621" s="1006"/>
      <c r="AR621" s="1006"/>
      <c r="AS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c r="AA622" s="1006"/>
      <c r="AB622" s="1006"/>
      <c r="AC622" s="1006"/>
      <c r="AD622" s="1006"/>
      <c r="AE622" s="1006"/>
      <c r="AF622" s="1006"/>
      <c r="AG622" s="1006"/>
      <c r="AH622" s="1006"/>
      <c r="AI622" s="1006"/>
      <c r="AJ622" s="1006"/>
      <c r="AK622" s="1006"/>
      <c r="AL622" s="1006"/>
      <c r="AM622" s="1006"/>
      <c r="AN622" s="1006"/>
      <c r="AO622" s="1006"/>
      <c r="AP622" s="1006"/>
      <c r="AQ622" s="1006"/>
      <c r="AR622" s="1006"/>
      <c r="AS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c r="AA623" s="1006"/>
      <c r="AB623" s="1006"/>
      <c r="AC623" s="1006"/>
      <c r="AD623" s="1006"/>
      <c r="AE623" s="1006"/>
      <c r="AF623" s="1006"/>
      <c r="AG623" s="1006"/>
      <c r="AH623" s="1006"/>
      <c r="AI623" s="1006"/>
      <c r="AJ623" s="1006"/>
      <c r="AK623" s="1006"/>
      <c r="AL623" s="1006"/>
      <c r="AM623" s="1006"/>
      <c r="AN623" s="1006"/>
      <c r="AO623" s="1006"/>
      <c r="AP623" s="1006"/>
      <c r="AQ623" s="1006"/>
      <c r="AR623" s="1006"/>
      <c r="AS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c r="AA624" s="1006"/>
      <c r="AB624" s="1006"/>
      <c r="AC624" s="1006"/>
      <c r="AD624" s="1006"/>
      <c r="AE624" s="1006"/>
      <c r="AF624" s="1006"/>
      <c r="AG624" s="1006"/>
      <c r="AH624" s="1006"/>
      <c r="AI624" s="1006"/>
      <c r="AJ624" s="1006"/>
      <c r="AK624" s="1006"/>
      <c r="AL624" s="1006"/>
      <c r="AM624" s="1006"/>
      <c r="AN624" s="1006"/>
      <c r="AO624" s="1006"/>
      <c r="AP624" s="1006"/>
      <c r="AQ624" s="1006"/>
      <c r="AR624" s="1006"/>
      <c r="AS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c r="AA625" s="1006"/>
      <c r="AB625" s="1006"/>
      <c r="AC625" s="1006"/>
      <c r="AD625" s="1006"/>
      <c r="AE625" s="1006"/>
      <c r="AF625" s="1006"/>
      <c r="AG625" s="1006"/>
      <c r="AH625" s="1006"/>
      <c r="AI625" s="1006"/>
      <c r="AJ625" s="1006"/>
      <c r="AK625" s="1006"/>
      <c r="AL625" s="1006"/>
      <c r="AM625" s="1006"/>
      <c r="AN625" s="1006"/>
      <c r="AO625" s="1006"/>
      <c r="AP625" s="1006"/>
      <c r="AQ625" s="1006"/>
      <c r="AR625" s="1006"/>
      <c r="AS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c r="AA626" s="1006"/>
      <c r="AB626" s="1006"/>
      <c r="AC626" s="1006"/>
      <c r="AD626" s="1006"/>
      <c r="AE626" s="1006"/>
      <c r="AF626" s="1006"/>
      <c r="AG626" s="1006"/>
      <c r="AH626" s="1006"/>
      <c r="AI626" s="1006"/>
      <c r="AJ626" s="1006"/>
      <c r="AK626" s="1006"/>
      <c r="AL626" s="1006"/>
      <c r="AM626" s="1006"/>
      <c r="AN626" s="1006"/>
      <c r="AO626" s="1006"/>
      <c r="AP626" s="1006"/>
      <c r="AQ626" s="1006"/>
      <c r="AR626" s="1006"/>
      <c r="AS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c r="AA627" s="1006"/>
      <c r="AB627" s="1006"/>
      <c r="AC627" s="1006"/>
      <c r="AD627" s="1006"/>
      <c r="AE627" s="1006"/>
      <c r="AF627" s="1006"/>
      <c r="AG627" s="1006"/>
      <c r="AH627" s="1006"/>
      <c r="AI627" s="1006"/>
      <c r="AJ627" s="1006"/>
      <c r="AK627" s="1006"/>
      <c r="AL627" s="1006"/>
      <c r="AM627" s="1006"/>
      <c r="AN627" s="1006"/>
      <c r="AO627" s="1006"/>
      <c r="AP627" s="1006"/>
      <c r="AQ627" s="1006"/>
      <c r="AR627" s="1006"/>
      <c r="AS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c r="AA628" s="1006"/>
      <c r="AB628" s="1006"/>
      <c r="AC628" s="1006"/>
      <c r="AD628" s="1006"/>
      <c r="AE628" s="1006"/>
      <c r="AF628" s="1006"/>
      <c r="AG628" s="1006"/>
      <c r="AH628" s="1006"/>
      <c r="AI628" s="1006"/>
      <c r="AJ628" s="1006"/>
      <c r="AK628" s="1006"/>
      <c r="AL628" s="1006"/>
      <c r="AM628" s="1006"/>
      <c r="AN628" s="1006"/>
      <c r="AO628" s="1006"/>
      <c r="AP628" s="1006"/>
      <c r="AQ628" s="1006"/>
      <c r="AR628" s="1006"/>
      <c r="AS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c r="AA629" s="1006"/>
      <c r="AB629" s="1006"/>
      <c r="AC629" s="1006"/>
      <c r="AD629" s="1006"/>
      <c r="AE629" s="1006"/>
      <c r="AF629" s="1006"/>
      <c r="AG629" s="1006"/>
      <c r="AH629" s="1006"/>
      <c r="AI629" s="1006"/>
      <c r="AJ629" s="1006"/>
      <c r="AK629" s="1006"/>
      <c r="AL629" s="1006"/>
      <c r="AM629" s="1006"/>
      <c r="AN629" s="1006"/>
      <c r="AO629" s="1006"/>
      <c r="AP629" s="1006"/>
      <c r="AQ629" s="1006"/>
      <c r="AR629" s="1006"/>
      <c r="AS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c r="AA630" s="1006"/>
      <c r="AB630" s="1006"/>
      <c r="AC630" s="1006"/>
      <c r="AD630" s="1006"/>
      <c r="AE630" s="1006"/>
      <c r="AF630" s="1006"/>
      <c r="AG630" s="1006"/>
      <c r="AH630" s="1006"/>
      <c r="AI630" s="1006"/>
      <c r="AJ630" s="1006"/>
      <c r="AK630" s="1006"/>
      <c r="AL630" s="1006"/>
      <c r="AM630" s="1006"/>
      <c r="AN630" s="1006"/>
      <c r="AO630" s="1006"/>
      <c r="AP630" s="1006"/>
      <c r="AQ630" s="1006"/>
      <c r="AR630" s="1006"/>
      <c r="AS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c r="AA631" s="1006"/>
      <c r="AB631" s="1006"/>
      <c r="AC631" s="1006"/>
      <c r="AD631" s="1006"/>
      <c r="AE631" s="1006"/>
      <c r="AF631" s="1006"/>
      <c r="AG631" s="1006"/>
      <c r="AH631" s="1006"/>
      <c r="AI631" s="1006"/>
      <c r="AJ631" s="1006"/>
      <c r="AK631" s="1006"/>
      <c r="AL631" s="1006"/>
      <c r="AM631" s="1006"/>
      <c r="AN631" s="1006"/>
      <c r="AO631" s="1006"/>
      <c r="AP631" s="1006"/>
      <c r="AQ631" s="1006"/>
      <c r="AR631" s="1006"/>
      <c r="AS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c r="AA632" s="1006"/>
      <c r="AB632" s="1006"/>
      <c r="AC632" s="1006"/>
      <c r="AD632" s="1006"/>
      <c r="AE632" s="1006"/>
      <c r="AF632" s="1006"/>
      <c r="AG632" s="1006"/>
      <c r="AH632" s="1006"/>
      <c r="AI632" s="1006"/>
      <c r="AJ632" s="1006"/>
      <c r="AK632" s="1006"/>
      <c r="AL632" s="1006"/>
      <c r="AM632" s="1006"/>
      <c r="AN632" s="1006"/>
      <c r="AO632" s="1006"/>
      <c r="AP632" s="1006"/>
      <c r="AQ632" s="1006"/>
      <c r="AR632" s="1006"/>
      <c r="AS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c r="AA633" s="1006"/>
      <c r="AB633" s="1006"/>
      <c r="AC633" s="1006"/>
      <c r="AD633" s="1006"/>
      <c r="AE633" s="1006"/>
      <c r="AF633" s="1006"/>
      <c r="AG633" s="1006"/>
      <c r="AH633" s="1006"/>
      <c r="AI633" s="1006"/>
      <c r="AJ633" s="1006"/>
      <c r="AK633" s="1006"/>
      <c r="AL633" s="1006"/>
      <c r="AM633" s="1006"/>
      <c r="AN633" s="1006"/>
      <c r="AO633" s="1006"/>
      <c r="AP633" s="1006"/>
      <c r="AQ633" s="1006"/>
      <c r="AR633" s="1006"/>
      <c r="AS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c r="AA634" s="1006"/>
      <c r="AB634" s="1006"/>
      <c r="AC634" s="1006"/>
      <c r="AD634" s="1006"/>
      <c r="AE634" s="1006"/>
      <c r="AF634" s="1006"/>
      <c r="AG634" s="1006"/>
      <c r="AH634" s="1006"/>
      <c r="AI634" s="1006"/>
      <c r="AJ634" s="1006"/>
      <c r="AK634" s="1006"/>
      <c r="AL634" s="1006"/>
      <c r="AM634" s="1006"/>
      <c r="AN634" s="1006"/>
      <c r="AO634" s="1006"/>
      <c r="AP634" s="1006"/>
      <c r="AQ634" s="1006"/>
      <c r="AR634" s="1006"/>
      <c r="AS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c r="AA635" s="1006"/>
      <c r="AB635" s="1006"/>
      <c r="AC635" s="1006"/>
      <c r="AD635" s="1006"/>
      <c r="AE635" s="1006"/>
      <c r="AF635" s="1006"/>
      <c r="AG635" s="1006"/>
      <c r="AH635" s="1006"/>
      <c r="AI635" s="1006"/>
      <c r="AJ635" s="1006"/>
      <c r="AK635" s="1006"/>
      <c r="AL635" s="1006"/>
      <c r="AM635" s="1006"/>
      <c r="AN635" s="1006"/>
      <c r="AO635" s="1006"/>
      <c r="AP635" s="1006"/>
      <c r="AQ635" s="1006"/>
      <c r="AR635" s="1006"/>
      <c r="AS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c r="AA636" s="1006"/>
      <c r="AB636" s="1006"/>
      <c r="AC636" s="1006"/>
      <c r="AD636" s="1006"/>
      <c r="AE636" s="1006"/>
      <c r="AF636" s="1006"/>
      <c r="AG636" s="1006"/>
      <c r="AH636" s="1006"/>
      <c r="AI636" s="1006"/>
      <c r="AJ636" s="1006"/>
      <c r="AK636" s="1006"/>
      <c r="AL636" s="1006"/>
      <c r="AM636" s="1006"/>
      <c r="AN636" s="1006"/>
      <c r="AO636" s="1006"/>
      <c r="AP636" s="1006"/>
      <c r="AQ636" s="1006"/>
      <c r="AR636" s="1006"/>
      <c r="AS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c r="AA637" s="1006"/>
      <c r="AB637" s="1006"/>
      <c r="AC637" s="1006"/>
      <c r="AD637" s="1006"/>
      <c r="AE637" s="1006"/>
      <c r="AF637" s="1006"/>
      <c r="AG637" s="1006"/>
      <c r="AH637" s="1006"/>
      <c r="AI637" s="1006"/>
      <c r="AJ637" s="1006"/>
      <c r="AK637" s="1006"/>
      <c r="AL637" s="1006"/>
      <c r="AM637" s="1006"/>
      <c r="AN637" s="1006"/>
      <c r="AO637" s="1006"/>
      <c r="AP637" s="1006"/>
      <c r="AQ637" s="1006"/>
      <c r="AR637" s="1006"/>
      <c r="AS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c r="AA638" s="1006"/>
      <c r="AB638" s="1006"/>
      <c r="AC638" s="1006"/>
      <c r="AD638" s="1006"/>
      <c r="AE638" s="1006"/>
      <c r="AF638" s="1006"/>
      <c r="AG638" s="1006"/>
      <c r="AH638" s="1006"/>
      <c r="AI638" s="1006"/>
      <c r="AJ638" s="1006"/>
      <c r="AK638" s="1006"/>
      <c r="AL638" s="1006"/>
      <c r="AM638" s="1006"/>
      <c r="AN638" s="1006"/>
      <c r="AO638" s="1006"/>
      <c r="AP638" s="1006"/>
      <c r="AQ638" s="1006"/>
      <c r="AR638" s="1006"/>
      <c r="AS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c r="AA639" s="1006"/>
      <c r="AB639" s="1006"/>
      <c r="AC639" s="1006"/>
      <c r="AD639" s="1006"/>
      <c r="AE639" s="1006"/>
      <c r="AF639" s="1006"/>
      <c r="AG639" s="1006"/>
      <c r="AH639" s="1006"/>
      <c r="AI639" s="1006"/>
      <c r="AJ639" s="1006"/>
      <c r="AK639" s="1006"/>
      <c r="AL639" s="1006"/>
      <c r="AM639" s="1006"/>
      <c r="AN639" s="1006"/>
      <c r="AO639" s="1006"/>
      <c r="AP639" s="1006"/>
      <c r="AQ639" s="1006"/>
      <c r="AR639" s="1006"/>
      <c r="AS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c r="AA640" s="1006"/>
      <c r="AB640" s="1006"/>
      <c r="AC640" s="1006"/>
      <c r="AD640" s="1006"/>
      <c r="AE640" s="1006"/>
      <c r="AF640" s="1006"/>
      <c r="AG640" s="1006"/>
      <c r="AH640" s="1006"/>
      <c r="AI640" s="1006"/>
      <c r="AJ640" s="1006"/>
      <c r="AK640" s="1006"/>
      <c r="AL640" s="1006"/>
      <c r="AM640" s="1006"/>
      <c r="AN640" s="1006"/>
      <c r="AO640" s="1006"/>
      <c r="AP640" s="1006"/>
      <c r="AQ640" s="1006"/>
      <c r="AR640" s="1006"/>
      <c r="AS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c r="AA641" s="1006"/>
      <c r="AB641" s="1006"/>
      <c r="AC641" s="1006"/>
      <c r="AD641" s="1006"/>
      <c r="AE641" s="1006"/>
      <c r="AF641" s="1006"/>
      <c r="AG641" s="1006"/>
      <c r="AH641" s="1006"/>
      <c r="AI641" s="1006"/>
      <c r="AJ641" s="1006"/>
      <c r="AK641" s="1006"/>
      <c r="AL641" s="1006"/>
      <c r="AM641" s="1006"/>
      <c r="AN641" s="1006"/>
      <c r="AO641" s="1006"/>
      <c r="AP641" s="1006"/>
      <c r="AQ641" s="1006"/>
      <c r="AR641" s="1006"/>
      <c r="AS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c r="AA642" s="1006"/>
      <c r="AB642" s="1006"/>
      <c r="AC642" s="1006"/>
      <c r="AD642" s="1006"/>
      <c r="AE642" s="1006"/>
      <c r="AF642" s="1006"/>
      <c r="AG642" s="1006"/>
      <c r="AH642" s="1006"/>
      <c r="AI642" s="1006"/>
      <c r="AJ642" s="1006"/>
      <c r="AK642" s="1006"/>
      <c r="AL642" s="1006"/>
      <c r="AM642" s="1006"/>
      <c r="AN642" s="1006"/>
      <c r="AO642" s="1006"/>
      <c r="AP642" s="1006"/>
      <c r="AQ642" s="1006"/>
      <c r="AR642" s="1006"/>
      <c r="AS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c r="AA643" s="1006"/>
      <c r="AB643" s="1006"/>
      <c r="AC643" s="1006"/>
      <c r="AD643" s="1006"/>
      <c r="AE643" s="1006"/>
      <c r="AF643" s="1006"/>
      <c r="AG643" s="1006"/>
      <c r="AH643" s="1006"/>
      <c r="AI643" s="1006"/>
      <c r="AJ643" s="1006"/>
      <c r="AK643" s="1006"/>
      <c r="AL643" s="1006"/>
      <c r="AM643" s="1006"/>
      <c r="AN643" s="1006"/>
      <c r="AO643" s="1006"/>
      <c r="AP643" s="1006"/>
      <c r="AQ643" s="1006"/>
      <c r="AR643" s="1006"/>
      <c r="AS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c r="AA644" s="1006"/>
      <c r="AB644" s="1006"/>
      <c r="AC644" s="1006"/>
      <c r="AD644" s="1006"/>
      <c r="AE644" s="1006"/>
      <c r="AF644" s="1006"/>
      <c r="AG644" s="1006"/>
      <c r="AH644" s="1006"/>
      <c r="AI644" s="1006"/>
      <c r="AJ644" s="1006"/>
      <c r="AK644" s="1006"/>
      <c r="AL644" s="1006"/>
      <c r="AM644" s="1006"/>
      <c r="AN644" s="1006"/>
      <c r="AO644" s="1006"/>
      <c r="AP644" s="1006"/>
      <c r="AQ644" s="1006"/>
      <c r="AR644" s="1006"/>
      <c r="AS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c r="AA645" s="1006"/>
      <c r="AB645" s="1006"/>
      <c r="AC645" s="1006"/>
      <c r="AD645" s="1006"/>
      <c r="AE645" s="1006"/>
      <c r="AF645" s="1006"/>
      <c r="AG645" s="1006"/>
      <c r="AH645" s="1006"/>
      <c r="AI645" s="1006"/>
      <c r="AJ645" s="1006"/>
      <c r="AK645" s="1006"/>
      <c r="AL645" s="1006"/>
      <c r="AM645" s="1006"/>
      <c r="AN645" s="1006"/>
      <c r="AO645" s="1006"/>
      <c r="AP645" s="1006"/>
      <c r="AQ645" s="1006"/>
      <c r="AR645" s="1006"/>
      <c r="AS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c r="AA646" s="1006"/>
      <c r="AB646" s="1006"/>
      <c r="AC646" s="1006"/>
      <c r="AD646" s="1006"/>
      <c r="AE646" s="1006"/>
      <c r="AF646" s="1006"/>
      <c r="AG646" s="1006"/>
      <c r="AH646" s="1006"/>
      <c r="AI646" s="1006"/>
      <c r="AJ646" s="1006"/>
      <c r="AK646" s="1006"/>
      <c r="AL646" s="1006"/>
      <c r="AM646" s="1006"/>
      <c r="AN646" s="1006"/>
      <c r="AO646" s="1006"/>
      <c r="AP646" s="1006"/>
      <c r="AQ646" s="1006"/>
      <c r="AR646" s="1006"/>
      <c r="AS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c r="AA647" s="1006"/>
      <c r="AB647" s="1006"/>
      <c r="AC647" s="1006"/>
      <c r="AD647" s="1006"/>
      <c r="AE647" s="1006"/>
      <c r="AF647" s="1006"/>
      <c r="AG647" s="1006"/>
      <c r="AH647" s="1006"/>
      <c r="AI647" s="1006"/>
      <c r="AJ647" s="1006"/>
      <c r="AK647" s="1006"/>
      <c r="AL647" s="1006"/>
      <c r="AM647" s="1006"/>
      <c r="AN647" s="1006"/>
      <c r="AO647" s="1006"/>
      <c r="AP647" s="1006"/>
      <c r="AQ647" s="1006"/>
      <c r="AR647" s="1006"/>
      <c r="AS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c r="AA648" s="1006"/>
      <c r="AB648" s="1006"/>
      <c r="AC648" s="1006"/>
      <c r="AD648" s="1006"/>
      <c r="AE648" s="1006"/>
      <c r="AF648" s="1006"/>
      <c r="AG648" s="1006"/>
      <c r="AH648" s="1006"/>
      <c r="AI648" s="1006"/>
      <c r="AJ648" s="1006"/>
      <c r="AK648" s="1006"/>
      <c r="AL648" s="1006"/>
      <c r="AM648" s="1006"/>
      <c r="AN648" s="1006"/>
      <c r="AO648" s="1006"/>
      <c r="AP648" s="1006"/>
      <c r="AQ648" s="1006"/>
      <c r="AR648" s="1006"/>
      <c r="AS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c r="AA649" s="1006"/>
      <c r="AB649" s="1006"/>
      <c r="AC649" s="1006"/>
      <c r="AD649" s="1006"/>
      <c r="AE649" s="1006"/>
      <c r="AF649" s="1006"/>
      <c r="AG649" s="1006"/>
      <c r="AH649" s="1006"/>
      <c r="AI649" s="1006"/>
      <c r="AJ649" s="1006"/>
      <c r="AK649" s="1006"/>
      <c r="AL649" s="1006"/>
      <c r="AM649" s="1006"/>
      <c r="AN649" s="1006"/>
      <c r="AO649" s="1006"/>
      <c r="AP649" s="1006"/>
      <c r="AQ649" s="1006"/>
      <c r="AR649" s="1006"/>
      <c r="AS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c r="AA650" s="1006"/>
      <c r="AB650" s="1006"/>
      <c r="AC650" s="1006"/>
      <c r="AD650" s="1006"/>
      <c r="AE650" s="1006"/>
      <c r="AF650" s="1006"/>
      <c r="AG650" s="1006"/>
      <c r="AH650" s="1006"/>
      <c r="AI650" s="1006"/>
      <c r="AJ650" s="1006"/>
      <c r="AK650" s="1006"/>
      <c r="AL650" s="1006"/>
      <c r="AM650" s="1006"/>
      <c r="AN650" s="1006"/>
      <c r="AO650" s="1006"/>
      <c r="AP650" s="1006"/>
      <c r="AQ650" s="1006"/>
      <c r="AR650" s="1006"/>
      <c r="AS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c r="AA651" s="1006"/>
      <c r="AB651" s="1006"/>
      <c r="AC651" s="1006"/>
      <c r="AD651" s="1006"/>
      <c r="AE651" s="1006"/>
      <c r="AF651" s="1006"/>
      <c r="AG651" s="1006"/>
      <c r="AH651" s="1006"/>
      <c r="AI651" s="1006"/>
      <c r="AJ651" s="1006"/>
      <c r="AK651" s="1006"/>
      <c r="AL651" s="1006"/>
      <c r="AM651" s="1006"/>
      <c r="AN651" s="1006"/>
      <c r="AO651" s="1006"/>
      <c r="AP651" s="1006"/>
      <c r="AQ651" s="1006"/>
      <c r="AR651" s="1006"/>
      <c r="AS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c r="AA652" s="1006"/>
      <c r="AB652" s="1006"/>
      <c r="AC652" s="1006"/>
      <c r="AD652" s="1006"/>
      <c r="AE652" s="1006"/>
      <c r="AF652" s="1006"/>
      <c r="AG652" s="1006"/>
      <c r="AH652" s="1006"/>
      <c r="AI652" s="1006"/>
      <c r="AJ652" s="1006"/>
      <c r="AK652" s="1006"/>
      <c r="AL652" s="1006"/>
      <c r="AM652" s="1006"/>
      <c r="AN652" s="1006"/>
      <c r="AO652" s="1006"/>
      <c r="AP652" s="1006"/>
      <c r="AQ652" s="1006"/>
      <c r="AR652" s="1006"/>
      <c r="AS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c r="AA653" s="1006"/>
      <c r="AB653" s="1006"/>
      <c r="AC653" s="1006"/>
      <c r="AD653" s="1006"/>
      <c r="AE653" s="1006"/>
      <c r="AF653" s="1006"/>
      <c r="AG653" s="1006"/>
      <c r="AH653" s="1006"/>
      <c r="AI653" s="1006"/>
      <c r="AJ653" s="1006"/>
      <c r="AK653" s="1006"/>
      <c r="AL653" s="1006"/>
      <c r="AM653" s="1006"/>
      <c r="AN653" s="1006"/>
      <c r="AO653" s="1006"/>
      <c r="AP653" s="1006"/>
      <c r="AQ653" s="1006"/>
      <c r="AR653" s="1006"/>
      <c r="AS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c r="AA654" s="1006"/>
      <c r="AB654" s="1006"/>
      <c r="AC654" s="1006"/>
      <c r="AD654" s="1006"/>
      <c r="AE654" s="1006"/>
      <c r="AF654" s="1006"/>
      <c r="AG654" s="1006"/>
      <c r="AH654" s="1006"/>
      <c r="AI654" s="1006"/>
      <c r="AJ654" s="1006"/>
      <c r="AK654" s="1006"/>
      <c r="AL654" s="1006"/>
      <c r="AM654" s="1006"/>
      <c r="AN654" s="1006"/>
      <c r="AO654" s="1006"/>
      <c r="AP654" s="1006"/>
      <c r="AQ654" s="1006"/>
      <c r="AR654" s="1006"/>
      <c r="AS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c r="AA655" s="1006"/>
      <c r="AB655" s="1006"/>
      <c r="AC655" s="1006"/>
      <c r="AD655" s="1006"/>
      <c r="AE655" s="1006"/>
      <c r="AF655" s="1006"/>
      <c r="AG655" s="1006"/>
      <c r="AH655" s="1006"/>
      <c r="AI655" s="1006"/>
      <c r="AJ655" s="1006"/>
      <c r="AK655" s="1006"/>
      <c r="AL655" s="1006"/>
      <c r="AM655" s="1006"/>
      <c r="AN655" s="1006"/>
      <c r="AO655" s="1006"/>
      <c r="AP655" s="1006"/>
      <c r="AQ655" s="1006"/>
      <c r="AR655" s="1006"/>
      <c r="AS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c r="AA656" s="1006"/>
      <c r="AB656" s="1006"/>
      <c r="AC656" s="1006"/>
      <c r="AD656" s="1006"/>
      <c r="AE656" s="1006"/>
      <c r="AF656" s="1006"/>
      <c r="AG656" s="1006"/>
      <c r="AH656" s="1006"/>
      <c r="AI656" s="1006"/>
      <c r="AJ656" s="1006"/>
      <c r="AK656" s="1006"/>
      <c r="AL656" s="1006"/>
      <c r="AM656" s="1006"/>
      <c r="AN656" s="1006"/>
      <c r="AO656" s="1006"/>
      <c r="AP656" s="1006"/>
      <c r="AQ656" s="1006"/>
      <c r="AR656" s="1006"/>
      <c r="AS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c r="AA657" s="1006"/>
      <c r="AB657" s="1006"/>
      <c r="AC657" s="1006"/>
      <c r="AD657" s="1006"/>
      <c r="AE657" s="1006"/>
      <c r="AF657" s="1006"/>
      <c r="AG657" s="1006"/>
      <c r="AH657" s="1006"/>
      <c r="AI657" s="1006"/>
      <c r="AJ657" s="1006"/>
      <c r="AK657" s="1006"/>
      <c r="AL657" s="1006"/>
      <c r="AM657" s="1006"/>
      <c r="AN657" s="1006"/>
      <c r="AO657" s="1006"/>
      <c r="AP657" s="1006"/>
      <c r="AQ657" s="1006"/>
      <c r="AR657" s="1006"/>
      <c r="AS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c r="AA658" s="1006"/>
      <c r="AB658" s="1006"/>
      <c r="AC658" s="1006"/>
      <c r="AD658" s="1006"/>
      <c r="AE658" s="1006"/>
      <c r="AF658" s="1006"/>
      <c r="AG658" s="1006"/>
      <c r="AH658" s="1006"/>
      <c r="AI658" s="1006"/>
      <c r="AJ658" s="1006"/>
      <c r="AK658" s="1006"/>
      <c r="AL658" s="1006"/>
      <c r="AM658" s="1006"/>
      <c r="AN658" s="1006"/>
      <c r="AO658" s="1006"/>
      <c r="AP658" s="1006"/>
      <c r="AQ658" s="1006"/>
      <c r="AR658" s="1006"/>
      <c r="AS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c r="AA659" s="1006"/>
      <c r="AB659" s="1006"/>
      <c r="AC659" s="1006"/>
      <c r="AD659" s="1006"/>
      <c r="AE659" s="1006"/>
      <c r="AF659" s="1006"/>
      <c r="AG659" s="1006"/>
      <c r="AH659" s="1006"/>
      <c r="AI659" s="1006"/>
      <c r="AJ659" s="1006"/>
      <c r="AK659" s="1006"/>
      <c r="AL659" s="1006"/>
      <c r="AM659" s="1006"/>
      <c r="AN659" s="1006"/>
      <c r="AO659" s="1006"/>
      <c r="AP659" s="1006"/>
      <c r="AQ659" s="1006"/>
      <c r="AR659" s="1006"/>
      <c r="AS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c r="AA660" s="1006"/>
      <c r="AB660" s="1006"/>
      <c r="AC660" s="1006"/>
      <c r="AD660" s="1006"/>
      <c r="AE660" s="1006"/>
      <c r="AF660" s="1006"/>
      <c r="AG660" s="1006"/>
      <c r="AH660" s="1006"/>
      <c r="AI660" s="1006"/>
      <c r="AJ660" s="1006"/>
      <c r="AK660" s="1006"/>
      <c r="AL660" s="1006"/>
      <c r="AM660" s="1006"/>
      <c r="AN660" s="1006"/>
      <c r="AO660" s="1006"/>
      <c r="AP660" s="1006"/>
      <c r="AQ660" s="1006"/>
      <c r="AR660" s="1006"/>
      <c r="AS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c r="AA661" s="1006"/>
      <c r="AB661" s="1006"/>
      <c r="AC661" s="1006"/>
      <c r="AD661" s="1006"/>
      <c r="AE661" s="1006"/>
      <c r="AF661" s="1006"/>
      <c r="AG661" s="1006"/>
      <c r="AH661" s="1006"/>
      <c r="AI661" s="1006"/>
      <c r="AJ661" s="1006"/>
      <c r="AK661" s="1006"/>
      <c r="AL661" s="1006"/>
      <c r="AM661" s="1006"/>
      <c r="AN661" s="1006"/>
      <c r="AO661" s="1006"/>
      <c r="AP661" s="1006"/>
      <c r="AQ661" s="1006"/>
      <c r="AR661" s="1006"/>
      <c r="AS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c r="AA662" s="1006"/>
      <c r="AB662" s="1006"/>
      <c r="AC662" s="1006"/>
      <c r="AD662" s="1006"/>
      <c r="AE662" s="1006"/>
      <c r="AF662" s="1006"/>
      <c r="AG662" s="1006"/>
      <c r="AH662" s="1006"/>
      <c r="AI662" s="1006"/>
      <c r="AJ662" s="1006"/>
      <c r="AK662" s="1006"/>
      <c r="AL662" s="1006"/>
      <c r="AM662" s="1006"/>
      <c r="AN662" s="1006"/>
      <c r="AO662" s="1006"/>
      <c r="AP662" s="1006"/>
      <c r="AQ662" s="1006"/>
      <c r="AR662" s="1006"/>
      <c r="AS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c r="AA663" s="1006"/>
      <c r="AB663" s="1006"/>
      <c r="AC663" s="1006"/>
      <c r="AD663" s="1006"/>
      <c r="AE663" s="1006"/>
      <c r="AF663" s="1006"/>
      <c r="AG663" s="1006"/>
      <c r="AH663" s="1006"/>
      <c r="AI663" s="1006"/>
      <c r="AJ663" s="1006"/>
      <c r="AK663" s="1006"/>
      <c r="AL663" s="1006"/>
      <c r="AM663" s="1006"/>
      <c r="AN663" s="1006"/>
      <c r="AO663" s="1006"/>
      <c r="AP663" s="1006"/>
      <c r="AQ663" s="1006"/>
      <c r="AR663" s="1006"/>
      <c r="AS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c r="AA664" s="1006"/>
      <c r="AB664" s="1006"/>
      <c r="AC664" s="1006"/>
      <c r="AD664" s="1006"/>
      <c r="AE664" s="1006"/>
      <c r="AF664" s="1006"/>
      <c r="AG664" s="1006"/>
      <c r="AH664" s="1006"/>
      <c r="AI664" s="1006"/>
      <c r="AJ664" s="1006"/>
      <c r="AK664" s="1006"/>
      <c r="AL664" s="1006"/>
      <c r="AM664" s="1006"/>
      <c r="AN664" s="1006"/>
      <c r="AO664" s="1006"/>
      <c r="AP664" s="1006"/>
      <c r="AQ664" s="1006"/>
      <c r="AR664" s="1006"/>
      <c r="AS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c r="AA665" s="1006"/>
      <c r="AB665" s="1006"/>
      <c r="AC665" s="1006"/>
      <c r="AD665" s="1006"/>
      <c r="AE665" s="1006"/>
      <c r="AF665" s="1006"/>
      <c r="AG665" s="1006"/>
      <c r="AH665" s="1006"/>
      <c r="AI665" s="1006"/>
      <c r="AJ665" s="1006"/>
      <c r="AK665" s="1006"/>
      <c r="AL665" s="1006"/>
      <c r="AM665" s="1006"/>
      <c r="AN665" s="1006"/>
      <c r="AO665" s="1006"/>
      <c r="AP665" s="1006"/>
      <c r="AQ665" s="1006"/>
      <c r="AR665" s="1006"/>
      <c r="AS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c r="AA666" s="1006"/>
      <c r="AB666" s="1006"/>
      <c r="AC666" s="1006"/>
      <c r="AD666" s="1006"/>
      <c r="AE666" s="1006"/>
      <c r="AF666" s="1006"/>
      <c r="AG666" s="1006"/>
      <c r="AH666" s="1006"/>
      <c r="AI666" s="1006"/>
      <c r="AJ666" s="1006"/>
      <c r="AK666" s="1006"/>
      <c r="AL666" s="1006"/>
      <c r="AM666" s="1006"/>
      <c r="AN666" s="1006"/>
      <c r="AO666" s="1006"/>
      <c r="AP666" s="1006"/>
      <c r="AQ666" s="1006"/>
      <c r="AR666" s="1006"/>
      <c r="AS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c r="AA667" s="1006"/>
      <c r="AB667" s="1006"/>
      <c r="AC667" s="1006"/>
      <c r="AD667" s="1006"/>
      <c r="AE667" s="1006"/>
      <c r="AF667" s="1006"/>
      <c r="AG667" s="1006"/>
      <c r="AH667" s="1006"/>
      <c r="AI667" s="1006"/>
      <c r="AJ667" s="1006"/>
      <c r="AK667" s="1006"/>
      <c r="AL667" s="1006"/>
      <c r="AM667" s="1006"/>
      <c r="AN667" s="1006"/>
      <c r="AO667" s="1006"/>
      <c r="AP667" s="1006"/>
      <c r="AQ667" s="1006"/>
      <c r="AR667" s="1006"/>
      <c r="AS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c r="AA668" s="1006"/>
      <c r="AB668" s="1006"/>
      <c r="AC668" s="1006"/>
      <c r="AD668" s="1006"/>
      <c r="AE668" s="1006"/>
      <c r="AF668" s="1006"/>
      <c r="AG668" s="1006"/>
      <c r="AH668" s="1006"/>
      <c r="AI668" s="1006"/>
      <c r="AJ668" s="1006"/>
      <c r="AK668" s="1006"/>
      <c r="AL668" s="1006"/>
      <c r="AM668" s="1006"/>
      <c r="AN668" s="1006"/>
      <c r="AO668" s="1006"/>
      <c r="AP668" s="1006"/>
      <c r="AQ668" s="1006"/>
      <c r="AR668" s="1006"/>
      <c r="AS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c r="AA669" s="1006"/>
      <c r="AB669" s="1006"/>
      <c r="AC669" s="1006"/>
      <c r="AD669" s="1006"/>
      <c r="AE669" s="1006"/>
      <c r="AF669" s="1006"/>
      <c r="AG669" s="1006"/>
      <c r="AH669" s="1006"/>
      <c r="AI669" s="1006"/>
      <c r="AJ669" s="1006"/>
      <c r="AK669" s="1006"/>
      <c r="AL669" s="1006"/>
      <c r="AM669" s="1006"/>
      <c r="AN669" s="1006"/>
      <c r="AO669" s="1006"/>
      <c r="AP669" s="1006"/>
      <c r="AQ669" s="1006"/>
      <c r="AR669" s="1006"/>
      <c r="AS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c r="AA670" s="1006"/>
      <c r="AB670" s="1006"/>
      <c r="AC670" s="1006"/>
      <c r="AD670" s="1006"/>
      <c r="AE670" s="1006"/>
      <c r="AF670" s="1006"/>
      <c r="AG670" s="1006"/>
      <c r="AH670" s="1006"/>
      <c r="AI670" s="1006"/>
      <c r="AJ670" s="1006"/>
      <c r="AK670" s="1006"/>
      <c r="AL670" s="1006"/>
      <c r="AM670" s="1006"/>
      <c r="AN670" s="1006"/>
      <c r="AO670" s="1006"/>
      <c r="AP670" s="1006"/>
      <c r="AQ670" s="1006"/>
      <c r="AR670" s="1006"/>
      <c r="AS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c r="AA671" s="1006"/>
      <c r="AB671" s="1006"/>
      <c r="AC671" s="1006"/>
      <c r="AD671" s="1006"/>
      <c r="AE671" s="1006"/>
      <c r="AF671" s="1006"/>
      <c r="AG671" s="1006"/>
      <c r="AH671" s="1006"/>
      <c r="AI671" s="1006"/>
      <c r="AJ671" s="1006"/>
      <c r="AK671" s="1006"/>
      <c r="AL671" s="1006"/>
      <c r="AM671" s="1006"/>
      <c r="AN671" s="1006"/>
      <c r="AO671" s="1006"/>
      <c r="AP671" s="1006"/>
      <c r="AQ671" s="1006"/>
      <c r="AR671" s="1006"/>
      <c r="AS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c r="AA672" s="1006"/>
      <c r="AB672" s="1006"/>
      <c r="AC672" s="1006"/>
      <c r="AD672" s="1006"/>
      <c r="AE672" s="1006"/>
      <c r="AF672" s="1006"/>
      <c r="AG672" s="1006"/>
      <c r="AH672" s="1006"/>
      <c r="AI672" s="1006"/>
      <c r="AJ672" s="1006"/>
      <c r="AK672" s="1006"/>
      <c r="AL672" s="1006"/>
      <c r="AM672" s="1006"/>
      <c r="AN672" s="1006"/>
      <c r="AO672" s="1006"/>
      <c r="AP672" s="1006"/>
      <c r="AQ672" s="1006"/>
      <c r="AR672" s="1006"/>
      <c r="AS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c r="AA673" s="1006"/>
      <c r="AB673" s="1006"/>
      <c r="AC673" s="1006"/>
      <c r="AD673" s="1006"/>
      <c r="AE673" s="1006"/>
      <c r="AF673" s="1006"/>
      <c r="AG673" s="1006"/>
      <c r="AH673" s="1006"/>
      <c r="AI673" s="1006"/>
      <c r="AJ673" s="1006"/>
      <c r="AK673" s="1006"/>
      <c r="AL673" s="1006"/>
      <c r="AM673" s="1006"/>
      <c r="AN673" s="1006"/>
      <c r="AO673" s="1006"/>
      <c r="AP673" s="1006"/>
      <c r="AQ673" s="1006"/>
      <c r="AR673" s="1006"/>
      <c r="AS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c r="AA674" s="1006"/>
      <c r="AB674" s="1006"/>
      <c r="AC674" s="1006"/>
      <c r="AD674" s="1006"/>
      <c r="AE674" s="1006"/>
      <c r="AF674" s="1006"/>
      <c r="AG674" s="1006"/>
      <c r="AH674" s="1006"/>
      <c r="AI674" s="1006"/>
      <c r="AJ674" s="1006"/>
      <c r="AK674" s="1006"/>
      <c r="AL674" s="1006"/>
      <c r="AM674" s="1006"/>
      <c r="AN674" s="1006"/>
      <c r="AO674" s="1006"/>
      <c r="AP674" s="1006"/>
      <c r="AQ674" s="1006"/>
      <c r="AR674" s="1006"/>
      <c r="AS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c r="AA675" s="1006"/>
      <c r="AB675" s="1006"/>
      <c r="AC675" s="1006"/>
      <c r="AD675" s="1006"/>
      <c r="AE675" s="1006"/>
      <c r="AF675" s="1006"/>
      <c r="AG675" s="1006"/>
      <c r="AH675" s="1006"/>
      <c r="AI675" s="1006"/>
      <c r="AJ675" s="1006"/>
      <c r="AK675" s="1006"/>
      <c r="AL675" s="1006"/>
      <c r="AM675" s="1006"/>
      <c r="AN675" s="1006"/>
      <c r="AO675" s="1006"/>
      <c r="AP675" s="1006"/>
      <c r="AQ675" s="1006"/>
      <c r="AR675" s="1006"/>
      <c r="AS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c r="AA676" s="1006"/>
      <c r="AB676" s="1006"/>
      <c r="AC676" s="1006"/>
      <c r="AD676" s="1006"/>
      <c r="AE676" s="1006"/>
      <c r="AF676" s="1006"/>
      <c r="AG676" s="1006"/>
      <c r="AH676" s="1006"/>
      <c r="AI676" s="1006"/>
      <c r="AJ676" s="1006"/>
      <c r="AK676" s="1006"/>
      <c r="AL676" s="1006"/>
      <c r="AM676" s="1006"/>
      <c r="AN676" s="1006"/>
      <c r="AO676" s="1006"/>
      <c r="AP676" s="1006"/>
      <c r="AQ676" s="1006"/>
      <c r="AR676" s="1006"/>
      <c r="AS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c r="AA677" s="1006"/>
      <c r="AB677" s="1006"/>
      <c r="AC677" s="1006"/>
      <c r="AD677" s="1006"/>
      <c r="AE677" s="1006"/>
      <c r="AF677" s="1006"/>
      <c r="AG677" s="1006"/>
      <c r="AH677" s="1006"/>
      <c r="AI677" s="1006"/>
      <c r="AJ677" s="1006"/>
      <c r="AK677" s="1006"/>
      <c r="AL677" s="1006"/>
      <c r="AM677" s="1006"/>
      <c r="AN677" s="1006"/>
      <c r="AO677" s="1006"/>
      <c r="AP677" s="1006"/>
      <c r="AQ677" s="1006"/>
      <c r="AR677" s="1006"/>
      <c r="AS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c r="AA678" s="1006"/>
      <c r="AB678" s="1006"/>
      <c r="AC678" s="1006"/>
      <c r="AD678" s="1006"/>
      <c r="AE678" s="1006"/>
      <c r="AF678" s="1006"/>
      <c r="AG678" s="1006"/>
      <c r="AH678" s="1006"/>
      <c r="AI678" s="1006"/>
      <c r="AJ678" s="1006"/>
      <c r="AK678" s="1006"/>
      <c r="AL678" s="1006"/>
      <c r="AM678" s="1006"/>
      <c r="AN678" s="1006"/>
      <c r="AO678" s="1006"/>
      <c r="AP678" s="1006"/>
      <c r="AQ678" s="1006"/>
      <c r="AR678" s="1006"/>
      <c r="AS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c r="AA679" s="1006"/>
      <c r="AB679" s="1006"/>
      <c r="AC679" s="1006"/>
      <c r="AD679" s="1006"/>
      <c r="AE679" s="1006"/>
      <c r="AF679" s="1006"/>
      <c r="AG679" s="1006"/>
      <c r="AH679" s="1006"/>
      <c r="AI679" s="1006"/>
      <c r="AJ679" s="1006"/>
      <c r="AK679" s="1006"/>
      <c r="AL679" s="1006"/>
      <c r="AM679" s="1006"/>
      <c r="AN679" s="1006"/>
      <c r="AO679" s="1006"/>
      <c r="AP679" s="1006"/>
      <c r="AQ679" s="1006"/>
      <c r="AR679" s="1006"/>
      <c r="AS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c r="AA680" s="1006"/>
      <c r="AB680" s="1006"/>
      <c r="AC680" s="1006"/>
      <c r="AD680" s="1006"/>
      <c r="AE680" s="1006"/>
      <c r="AF680" s="1006"/>
      <c r="AG680" s="1006"/>
      <c r="AH680" s="1006"/>
      <c r="AI680" s="1006"/>
      <c r="AJ680" s="1006"/>
      <c r="AK680" s="1006"/>
      <c r="AL680" s="1006"/>
      <c r="AM680" s="1006"/>
      <c r="AN680" s="1006"/>
      <c r="AO680" s="1006"/>
      <c r="AP680" s="1006"/>
      <c r="AQ680" s="1006"/>
      <c r="AR680" s="1006"/>
      <c r="AS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c r="AA681" s="1006"/>
      <c r="AB681" s="1006"/>
      <c r="AC681" s="1006"/>
      <c r="AD681" s="1006"/>
      <c r="AE681" s="1006"/>
      <c r="AF681" s="1006"/>
      <c r="AG681" s="1006"/>
      <c r="AH681" s="1006"/>
      <c r="AI681" s="1006"/>
      <c r="AJ681" s="1006"/>
      <c r="AK681" s="1006"/>
      <c r="AL681" s="1006"/>
      <c r="AM681" s="1006"/>
      <c r="AN681" s="1006"/>
      <c r="AO681" s="1006"/>
      <c r="AP681" s="1006"/>
      <c r="AQ681" s="1006"/>
      <c r="AR681" s="1006"/>
      <c r="AS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c r="AA682" s="1006"/>
      <c r="AB682" s="1006"/>
      <c r="AC682" s="1006"/>
      <c r="AD682" s="1006"/>
      <c r="AE682" s="1006"/>
      <c r="AF682" s="1006"/>
      <c r="AG682" s="1006"/>
      <c r="AH682" s="1006"/>
      <c r="AI682" s="1006"/>
      <c r="AJ682" s="1006"/>
      <c r="AK682" s="1006"/>
      <c r="AL682" s="1006"/>
      <c r="AM682" s="1006"/>
      <c r="AN682" s="1006"/>
      <c r="AO682" s="1006"/>
      <c r="AP682" s="1006"/>
      <c r="AQ682" s="1006"/>
      <c r="AR682" s="1006"/>
      <c r="AS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c r="AA683" s="1006"/>
      <c r="AB683" s="1006"/>
      <c r="AC683" s="1006"/>
      <c r="AD683" s="1006"/>
      <c r="AE683" s="1006"/>
      <c r="AF683" s="1006"/>
      <c r="AG683" s="1006"/>
      <c r="AH683" s="1006"/>
      <c r="AI683" s="1006"/>
      <c r="AJ683" s="1006"/>
      <c r="AK683" s="1006"/>
      <c r="AL683" s="1006"/>
      <c r="AM683" s="1006"/>
      <c r="AN683" s="1006"/>
      <c r="AO683" s="1006"/>
      <c r="AP683" s="1006"/>
      <c r="AQ683" s="1006"/>
      <c r="AR683" s="1006"/>
      <c r="AS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c r="AA684" s="1006"/>
      <c r="AB684" s="1006"/>
      <c r="AC684" s="1006"/>
      <c r="AD684" s="1006"/>
      <c r="AE684" s="1006"/>
      <c r="AF684" s="1006"/>
      <c r="AG684" s="1006"/>
      <c r="AH684" s="1006"/>
      <c r="AI684" s="1006"/>
      <c r="AJ684" s="1006"/>
      <c r="AK684" s="1006"/>
      <c r="AL684" s="1006"/>
      <c r="AM684" s="1006"/>
      <c r="AN684" s="1006"/>
      <c r="AO684" s="1006"/>
      <c r="AP684" s="1006"/>
      <c r="AQ684" s="1006"/>
      <c r="AR684" s="1006"/>
      <c r="AS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c r="AA685" s="1006"/>
      <c r="AB685" s="1006"/>
      <c r="AC685" s="1006"/>
      <c r="AD685" s="1006"/>
      <c r="AE685" s="1006"/>
      <c r="AF685" s="1006"/>
      <c r="AG685" s="1006"/>
      <c r="AH685" s="1006"/>
      <c r="AI685" s="1006"/>
      <c r="AJ685" s="1006"/>
      <c r="AK685" s="1006"/>
      <c r="AL685" s="1006"/>
      <c r="AM685" s="1006"/>
      <c r="AN685" s="1006"/>
      <c r="AO685" s="1006"/>
      <c r="AP685" s="1006"/>
      <c r="AQ685" s="1006"/>
      <c r="AR685" s="1006"/>
      <c r="AS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c r="AA686" s="1006"/>
      <c r="AB686" s="1006"/>
      <c r="AC686" s="1006"/>
      <c r="AD686" s="1006"/>
      <c r="AE686" s="1006"/>
      <c r="AF686" s="1006"/>
      <c r="AG686" s="1006"/>
      <c r="AH686" s="1006"/>
      <c r="AI686" s="1006"/>
      <c r="AJ686" s="1006"/>
      <c r="AK686" s="1006"/>
      <c r="AL686" s="1006"/>
      <c r="AM686" s="1006"/>
      <c r="AN686" s="1006"/>
      <c r="AO686" s="1006"/>
      <c r="AP686" s="1006"/>
      <c r="AQ686" s="1006"/>
      <c r="AR686" s="1006"/>
      <c r="AS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c r="AA687" s="1006"/>
      <c r="AB687" s="1006"/>
      <c r="AC687" s="1006"/>
      <c r="AD687" s="1006"/>
      <c r="AE687" s="1006"/>
      <c r="AF687" s="1006"/>
      <c r="AG687" s="1006"/>
      <c r="AH687" s="1006"/>
      <c r="AI687" s="1006"/>
      <c r="AJ687" s="1006"/>
      <c r="AK687" s="1006"/>
      <c r="AL687" s="1006"/>
      <c r="AM687" s="1006"/>
      <c r="AN687" s="1006"/>
      <c r="AO687" s="1006"/>
      <c r="AP687" s="1006"/>
      <c r="AQ687" s="1006"/>
      <c r="AR687" s="1006"/>
      <c r="AS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c r="AA688" s="1006"/>
      <c r="AB688" s="1006"/>
      <c r="AC688" s="1006"/>
      <c r="AD688" s="1006"/>
      <c r="AE688" s="1006"/>
      <c r="AF688" s="1006"/>
      <c r="AG688" s="1006"/>
      <c r="AH688" s="1006"/>
      <c r="AI688" s="1006"/>
      <c r="AJ688" s="1006"/>
      <c r="AK688" s="1006"/>
      <c r="AL688" s="1006"/>
      <c r="AM688" s="1006"/>
      <c r="AN688" s="1006"/>
      <c r="AO688" s="1006"/>
      <c r="AP688" s="1006"/>
      <c r="AQ688" s="1006"/>
      <c r="AR688" s="1006"/>
      <c r="AS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c r="AA689" s="1006"/>
      <c r="AB689" s="1006"/>
      <c r="AC689" s="1006"/>
      <c r="AD689" s="1006"/>
      <c r="AE689" s="1006"/>
      <c r="AF689" s="1006"/>
      <c r="AG689" s="1006"/>
      <c r="AH689" s="1006"/>
      <c r="AI689" s="1006"/>
      <c r="AJ689" s="1006"/>
      <c r="AK689" s="1006"/>
      <c r="AL689" s="1006"/>
      <c r="AM689" s="1006"/>
      <c r="AN689" s="1006"/>
      <c r="AO689" s="1006"/>
      <c r="AP689" s="1006"/>
      <c r="AQ689" s="1006"/>
      <c r="AR689" s="1006"/>
      <c r="AS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c r="AA690" s="1006"/>
      <c r="AB690" s="1006"/>
      <c r="AC690" s="1006"/>
      <c r="AD690" s="1006"/>
      <c r="AE690" s="1006"/>
      <c r="AF690" s="1006"/>
      <c r="AG690" s="1006"/>
      <c r="AH690" s="1006"/>
      <c r="AI690" s="1006"/>
      <c r="AJ690" s="1006"/>
      <c r="AK690" s="1006"/>
      <c r="AL690" s="1006"/>
      <c r="AM690" s="1006"/>
      <c r="AN690" s="1006"/>
      <c r="AO690" s="1006"/>
      <c r="AP690" s="1006"/>
      <c r="AQ690" s="1006"/>
      <c r="AR690" s="1006"/>
      <c r="AS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c r="AA691" s="1006"/>
      <c r="AB691" s="1006"/>
      <c r="AC691" s="1006"/>
      <c r="AD691" s="1006"/>
      <c r="AE691" s="1006"/>
      <c r="AF691" s="1006"/>
      <c r="AG691" s="1006"/>
      <c r="AH691" s="1006"/>
      <c r="AI691" s="1006"/>
      <c r="AJ691" s="1006"/>
      <c r="AK691" s="1006"/>
      <c r="AL691" s="1006"/>
      <c r="AM691" s="1006"/>
      <c r="AN691" s="1006"/>
      <c r="AO691" s="1006"/>
      <c r="AP691" s="1006"/>
      <c r="AQ691" s="1006"/>
      <c r="AR691" s="1006"/>
      <c r="AS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c r="AA692" s="1006"/>
      <c r="AB692" s="1006"/>
      <c r="AC692" s="1006"/>
      <c r="AD692" s="1006"/>
      <c r="AE692" s="1006"/>
      <c r="AF692" s="1006"/>
      <c r="AG692" s="1006"/>
      <c r="AH692" s="1006"/>
      <c r="AI692" s="1006"/>
      <c r="AJ692" s="1006"/>
      <c r="AK692" s="1006"/>
      <c r="AL692" s="1006"/>
      <c r="AM692" s="1006"/>
      <c r="AN692" s="1006"/>
      <c r="AO692" s="1006"/>
      <c r="AP692" s="1006"/>
      <c r="AQ692" s="1006"/>
      <c r="AR692" s="1006"/>
      <c r="AS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c r="AA693" s="1006"/>
      <c r="AB693" s="1006"/>
      <c r="AC693" s="1006"/>
      <c r="AD693" s="1006"/>
      <c r="AE693" s="1006"/>
      <c r="AF693" s="1006"/>
      <c r="AG693" s="1006"/>
      <c r="AH693" s="1006"/>
      <c r="AI693" s="1006"/>
      <c r="AJ693" s="1006"/>
      <c r="AK693" s="1006"/>
      <c r="AL693" s="1006"/>
      <c r="AM693" s="1006"/>
      <c r="AN693" s="1006"/>
      <c r="AO693" s="1006"/>
      <c r="AP693" s="1006"/>
      <c r="AQ693" s="1006"/>
      <c r="AR693" s="1006"/>
      <c r="AS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c r="AA694" s="1006"/>
      <c r="AB694" s="1006"/>
      <c r="AC694" s="1006"/>
      <c r="AD694" s="1006"/>
      <c r="AE694" s="1006"/>
      <c r="AF694" s="1006"/>
      <c r="AG694" s="1006"/>
      <c r="AH694" s="1006"/>
      <c r="AI694" s="1006"/>
      <c r="AJ694" s="1006"/>
      <c r="AK694" s="1006"/>
      <c r="AL694" s="1006"/>
      <c r="AM694" s="1006"/>
      <c r="AN694" s="1006"/>
      <c r="AO694" s="1006"/>
      <c r="AP694" s="1006"/>
      <c r="AQ694" s="1006"/>
      <c r="AR694" s="1006"/>
      <c r="AS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c r="AA695" s="1006"/>
      <c r="AB695" s="1006"/>
      <c r="AC695" s="1006"/>
      <c r="AD695" s="1006"/>
      <c r="AE695" s="1006"/>
      <c r="AF695" s="1006"/>
      <c r="AG695" s="1006"/>
      <c r="AH695" s="1006"/>
      <c r="AI695" s="1006"/>
      <c r="AJ695" s="1006"/>
      <c r="AK695" s="1006"/>
      <c r="AL695" s="1006"/>
      <c r="AM695" s="1006"/>
      <c r="AN695" s="1006"/>
      <c r="AO695" s="1006"/>
      <c r="AP695" s="1006"/>
      <c r="AQ695" s="1006"/>
      <c r="AR695" s="1006"/>
      <c r="AS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c r="AA696" s="1006"/>
      <c r="AB696" s="1006"/>
      <c r="AC696" s="1006"/>
      <c r="AD696" s="1006"/>
      <c r="AE696" s="1006"/>
      <c r="AF696" s="1006"/>
      <c r="AG696" s="1006"/>
      <c r="AH696" s="1006"/>
      <c r="AI696" s="1006"/>
      <c r="AJ696" s="1006"/>
      <c r="AK696" s="1006"/>
      <c r="AL696" s="1006"/>
      <c r="AM696" s="1006"/>
      <c r="AN696" s="1006"/>
      <c r="AO696" s="1006"/>
      <c r="AP696" s="1006"/>
      <c r="AQ696" s="1006"/>
      <c r="AR696" s="1006"/>
      <c r="AS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c r="AA697" s="1006"/>
      <c r="AB697" s="1006"/>
      <c r="AC697" s="1006"/>
      <c r="AD697" s="1006"/>
      <c r="AE697" s="1006"/>
      <c r="AF697" s="1006"/>
      <c r="AG697" s="1006"/>
      <c r="AH697" s="1006"/>
      <c r="AI697" s="1006"/>
      <c r="AJ697" s="1006"/>
      <c r="AK697" s="1006"/>
      <c r="AL697" s="1006"/>
      <c r="AM697" s="1006"/>
      <c r="AN697" s="1006"/>
      <c r="AO697" s="1006"/>
      <c r="AP697" s="1006"/>
      <c r="AQ697" s="1006"/>
      <c r="AR697" s="1006"/>
      <c r="AS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c r="AA698" s="1006"/>
      <c r="AB698" s="1006"/>
      <c r="AC698" s="1006"/>
      <c r="AD698" s="1006"/>
      <c r="AE698" s="1006"/>
      <c r="AF698" s="1006"/>
      <c r="AG698" s="1006"/>
      <c r="AH698" s="1006"/>
      <c r="AI698" s="1006"/>
      <c r="AJ698" s="1006"/>
      <c r="AK698" s="1006"/>
      <c r="AL698" s="1006"/>
      <c r="AM698" s="1006"/>
      <c r="AN698" s="1006"/>
      <c r="AO698" s="1006"/>
      <c r="AP698" s="1006"/>
      <c r="AQ698" s="1006"/>
      <c r="AR698" s="1006"/>
      <c r="AS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c r="AA699" s="1006"/>
      <c r="AB699" s="1006"/>
      <c r="AC699" s="1006"/>
      <c r="AD699" s="1006"/>
      <c r="AE699" s="1006"/>
      <c r="AF699" s="1006"/>
      <c r="AG699" s="1006"/>
      <c r="AH699" s="1006"/>
      <c r="AI699" s="1006"/>
      <c r="AJ699" s="1006"/>
      <c r="AK699" s="1006"/>
      <c r="AL699" s="1006"/>
      <c r="AM699" s="1006"/>
      <c r="AN699" s="1006"/>
      <c r="AO699" s="1006"/>
      <c r="AP699" s="1006"/>
      <c r="AQ699" s="1006"/>
      <c r="AR699" s="1006"/>
      <c r="AS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c r="AA700" s="1006"/>
      <c r="AB700" s="1006"/>
      <c r="AC700" s="1006"/>
      <c r="AD700" s="1006"/>
      <c r="AE700" s="1006"/>
      <c r="AF700" s="1006"/>
      <c r="AG700" s="1006"/>
      <c r="AH700" s="1006"/>
      <c r="AI700" s="1006"/>
      <c r="AJ700" s="1006"/>
      <c r="AK700" s="1006"/>
      <c r="AL700" s="1006"/>
      <c r="AM700" s="1006"/>
      <c r="AN700" s="1006"/>
      <c r="AO700" s="1006"/>
      <c r="AP700" s="1006"/>
      <c r="AQ700" s="1006"/>
      <c r="AR700" s="1006"/>
      <c r="AS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c r="AA701" s="1006"/>
      <c r="AB701" s="1006"/>
      <c r="AC701" s="1006"/>
      <c r="AD701" s="1006"/>
      <c r="AE701" s="1006"/>
      <c r="AF701" s="1006"/>
      <c r="AG701" s="1006"/>
      <c r="AH701" s="1006"/>
      <c r="AI701" s="1006"/>
      <c r="AJ701" s="1006"/>
      <c r="AK701" s="1006"/>
      <c r="AL701" s="1006"/>
      <c r="AM701" s="1006"/>
      <c r="AN701" s="1006"/>
      <c r="AO701" s="1006"/>
      <c r="AP701" s="1006"/>
      <c r="AQ701" s="1006"/>
      <c r="AR701" s="1006"/>
      <c r="AS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c r="AA702" s="1006"/>
      <c r="AB702" s="1006"/>
      <c r="AC702" s="1006"/>
      <c r="AD702" s="1006"/>
      <c r="AE702" s="1006"/>
      <c r="AF702" s="1006"/>
      <c r="AG702" s="1006"/>
      <c r="AH702" s="1006"/>
      <c r="AI702" s="1006"/>
      <c r="AJ702" s="1006"/>
      <c r="AK702" s="1006"/>
      <c r="AL702" s="1006"/>
      <c r="AM702" s="1006"/>
      <c r="AN702" s="1006"/>
      <c r="AO702" s="1006"/>
      <c r="AP702" s="1006"/>
      <c r="AQ702" s="1006"/>
      <c r="AR702" s="1006"/>
      <c r="AS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c r="AA703" s="1006"/>
      <c r="AB703" s="1006"/>
      <c r="AC703" s="1006"/>
      <c r="AD703" s="1006"/>
      <c r="AE703" s="1006"/>
      <c r="AF703" s="1006"/>
      <c r="AG703" s="1006"/>
      <c r="AH703" s="1006"/>
      <c r="AI703" s="1006"/>
      <c r="AJ703" s="1006"/>
      <c r="AK703" s="1006"/>
      <c r="AL703" s="1006"/>
      <c r="AM703" s="1006"/>
      <c r="AN703" s="1006"/>
      <c r="AO703" s="1006"/>
      <c r="AP703" s="1006"/>
      <c r="AQ703" s="1006"/>
      <c r="AR703" s="1006"/>
      <c r="AS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c r="AA704" s="1006"/>
      <c r="AB704" s="1006"/>
      <c r="AC704" s="1006"/>
      <c r="AD704" s="1006"/>
      <c r="AE704" s="1006"/>
      <c r="AF704" s="1006"/>
      <c r="AG704" s="1006"/>
      <c r="AH704" s="1006"/>
      <c r="AI704" s="1006"/>
      <c r="AJ704" s="1006"/>
      <c r="AK704" s="1006"/>
      <c r="AL704" s="1006"/>
      <c r="AM704" s="1006"/>
      <c r="AN704" s="1006"/>
      <c r="AO704" s="1006"/>
      <c r="AP704" s="1006"/>
      <c r="AQ704" s="1006"/>
      <c r="AR704" s="1006"/>
      <c r="AS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c r="AA705" s="1006"/>
      <c r="AB705" s="1006"/>
      <c r="AC705" s="1006"/>
      <c r="AD705" s="1006"/>
      <c r="AE705" s="1006"/>
      <c r="AF705" s="1006"/>
      <c r="AG705" s="1006"/>
      <c r="AH705" s="1006"/>
      <c r="AI705" s="1006"/>
      <c r="AJ705" s="1006"/>
      <c r="AK705" s="1006"/>
      <c r="AL705" s="1006"/>
      <c r="AM705" s="1006"/>
      <c r="AN705" s="1006"/>
      <c r="AO705" s="1006"/>
      <c r="AP705" s="1006"/>
      <c r="AQ705" s="1006"/>
      <c r="AR705" s="1006"/>
      <c r="AS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c r="AA706" s="1006"/>
      <c r="AB706" s="1006"/>
      <c r="AC706" s="1006"/>
      <c r="AD706" s="1006"/>
      <c r="AE706" s="1006"/>
      <c r="AF706" s="1006"/>
      <c r="AG706" s="1006"/>
      <c r="AH706" s="1006"/>
      <c r="AI706" s="1006"/>
      <c r="AJ706" s="1006"/>
      <c r="AK706" s="1006"/>
      <c r="AL706" s="1006"/>
      <c r="AM706" s="1006"/>
      <c r="AN706" s="1006"/>
      <c r="AO706" s="1006"/>
      <c r="AP706" s="1006"/>
      <c r="AQ706" s="1006"/>
      <c r="AR706" s="1006"/>
      <c r="AS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c r="AA707" s="1006"/>
      <c r="AB707" s="1006"/>
      <c r="AC707" s="1006"/>
      <c r="AD707" s="1006"/>
      <c r="AE707" s="1006"/>
      <c r="AF707" s="1006"/>
      <c r="AG707" s="1006"/>
      <c r="AH707" s="1006"/>
      <c r="AI707" s="1006"/>
      <c r="AJ707" s="1006"/>
      <c r="AK707" s="1006"/>
      <c r="AL707" s="1006"/>
      <c r="AM707" s="1006"/>
      <c r="AN707" s="1006"/>
      <c r="AO707" s="1006"/>
      <c r="AP707" s="1006"/>
      <c r="AQ707" s="1006"/>
      <c r="AR707" s="1006"/>
      <c r="AS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c r="AA708" s="1006"/>
      <c r="AB708" s="1006"/>
      <c r="AC708" s="1006"/>
      <c r="AD708" s="1006"/>
      <c r="AE708" s="1006"/>
      <c r="AF708" s="1006"/>
      <c r="AG708" s="1006"/>
      <c r="AH708" s="1006"/>
      <c r="AI708" s="1006"/>
      <c r="AJ708" s="1006"/>
      <c r="AK708" s="1006"/>
      <c r="AL708" s="1006"/>
      <c r="AM708" s="1006"/>
      <c r="AN708" s="1006"/>
      <c r="AO708" s="1006"/>
      <c r="AP708" s="1006"/>
      <c r="AQ708" s="1006"/>
      <c r="AR708" s="1006"/>
      <c r="AS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c r="AA709" s="1006"/>
      <c r="AB709" s="1006"/>
      <c r="AC709" s="1006"/>
      <c r="AD709" s="1006"/>
      <c r="AE709" s="1006"/>
      <c r="AF709" s="1006"/>
      <c r="AG709" s="1006"/>
      <c r="AH709" s="1006"/>
      <c r="AI709" s="1006"/>
      <c r="AJ709" s="1006"/>
      <c r="AK709" s="1006"/>
      <c r="AL709" s="1006"/>
      <c r="AM709" s="1006"/>
      <c r="AN709" s="1006"/>
      <c r="AO709" s="1006"/>
      <c r="AP709" s="1006"/>
      <c r="AQ709" s="1006"/>
      <c r="AR709" s="1006"/>
      <c r="AS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c r="AA710" s="1006"/>
      <c r="AB710" s="1006"/>
      <c r="AC710" s="1006"/>
      <c r="AD710" s="1006"/>
      <c r="AE710" s="1006"/>
      <c r="AF710" s="1006"/>
      <c r="AG710" s="1006"/>
      <c r="AH710" s="1006"/>
      <c r="AI710" s="1006"/>
      <c r="AJ710" s="1006"/>
      <c r="AK710" s="1006"/>
      <c r="AL710" s="1006"/>
      <c r="AM710" s="1006"/>
      <c r="AN710" s="1006"/>
      <c r="AO710" s="1006"/>
      <c r="AP710" s="1006"/>
      <c r="AQ710" s="1006"/>
      <c r="AR710" s="1006"/>
      <c r="AS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c r="AA711" s="1006"/>
      <c r="AB711" s="1006"/>
      <c r="AC711" s="1006"/>
      <c r="AD711" s="1006"/>
      <c r="AE711" s="1006"/>
      <c r="AF711" s="1006"/>
      <c r="AG711" s="1006"/>
      <c r="AH711" s="1006"/>
      <c r="AI711" s="1006"/>
      <c r="AJ711" s="1006"/>
      <c r="AK711" s="1006"/>
      <c r="AL711" s="1006"/>
      <c r="AM711" s="1006"/>
      <c r="AN711" s="1006"/>
      <c r="AO711" s="1006"/>
      <c r="AP711" s="1006"/>
      <c r="AQ711" s="1006"/>
      <c r="AR711" s="1006"/>
      <c r="AS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c r="AA712" s="1006"/>
      <c r="AB712" s="1006"/>
      <c r="AC712" s="1006"/>
      <c r="AD712" s="1006"/>
      <c r="AE712" s="1006"/>
      <c r="AF712" s="1006"/>
      <c r="AG712" s="1006"/>
      <c r="AH712" s="1006"/>
      <c r="AI712" s="1006"/>
      <c r="AJ712" s="1006"/>
      <c r="AK712" s="1006"/>
      <c r="AL712" s="1006"/>
      <c r="AM712" s="1006"/>
      <c r="AN712" s="1006"/>
      <c r="AO712" s="1006"/>
      <c r="AP712" s="1006"/>
      <c r="AQ712" s="1006"/>
      <c r="AR712" s="1006"/>
      <c r="AS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c r="AA713" s="1006"/>
      <c r="AB713" s="1006"/>
      <c r="AC713" s="1006"/>
      <c r="AD713" s="1006"/>
      <c r="AE713" s="1006"/>
      <c r="AF713" s="1006"/>
      <c r="AG713" s="1006"/>
      <c r="AH713" s="1006"/>
      <c r="AI713" s="1006"/>
      <c r="AJ713" s="1006"/>
      <c r="AK713" s="1006"/>
      <c r="AL713" s="1006"/>
      <c r="AM713" s="1006"/>
      <c r="AN713" s="1006"/>
      <c r="AO713" s="1006"/>
      <c r="AP713" s="1006"/>
      <c r="AQ713" s="1006"/>
      <c r="AR713" s="1006"/>
      <c r="AS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c r="AA714" s="1006"/>
      <c r="AB714" s="1006"/>
      <c r="AC714" s="1006"/>
      <c r="AD714" s="1006"/>
      <c r="AE714" s="1006"/>
      <c r="AF714" s="1006"/>
      <c r="AG714" s="1006"/>
      <c r="AH714" s="1006"/>
      <c r="AI714" s="1006"/>
      <c r="AJ714" s="1006"/>
      <c r="AK714" s="1006"/>
      <c r="AL714" s="1006"/>
      <c r="AM714" s="1006"/>
      <c r="AN714" s="1006"/>
      <c r="AO714" s="1006"/>
      <c r="AP714" s="1006"/>
      <c r="AQ714" s="1006"/>
      <c r="AR714" s="1006"/>
      <c r="AS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c r="AA715" s="1006"/>
      <c r="AB715" s="1006"/>
      <c r="AC715" s="1006"/>
      <c r="AD715" s="1006"/>
      <c r="AE715" s="1006"/>
      <c r="AF715" s="1006"/>
      <c r="AG715" s="1006"/>
      <c r="AH715" s="1006"/>
      <c r="AI715" s="1006"/>
      <c r="AJ715" s="1006"/>
      <c r="AK715" s="1006"/>
      <c r="AL715" s="1006"/>
      <c r="AM715" s="1006"/>
      <c r="AN715" s="1006"/>
      <c r="AO715" s="1006"/>
      <c r="AP715" s="1006"/>
      <c r="AQ715" s="1006"/>
      <c r="AR715" s="1006"/>
      <c r="AS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c r="AA716" s="1006"/>
      <c r="AB716" s="1006"/>
      <c r="AC716" s="1006"/>
      <c r="AD716" s="1006"/>
      <c r="AE716" s="1006"/>
      <c r="AF716" s="1006"/>
      <c r="AG716" s="1006"/>
      <c r="AH716" s="1006"/>
      <c r="AI716" s="1006"/>
      <c r="AJ716" s="1006"/>
      <c r="AK716" s="1006"/>
      <c r="AL716" s="1006"/>
      <c r="AM716" s="1006"/>
      <c r="AN716" s="1006"/>
      <c r="AO716" s="1006"/>
      <c r="AP716" s="1006"/>
      <c r="AQ716" s="1006"/>
      <c r="AR716" s="1006"/>
      <c r="AS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c r="AA717" s="1006"/>
      <c r="AB717" s="1006"/>
      <c r="AC717" s="1006"/>
      <c r="AD717" s="1006"/>
      <c r="AE717" s="1006"/>
      <c r="AF717" s="1006"/>
      <c r="AG717" s="1006"/>
      <c r="AH717" s="1006"/>
      <c r="AI717" s="1006"/>
      <c r="AJ717" s="1006"/>
      <c r="AK717" s="1006"/>
      <c r="AL717" s="1006"/>
      <c r="AM717" s="1006"/>
      <c r="AN717" s="1006"/>
      <c r="AO717" s="1006"/>
      <c r="AP717" s="1006"/>
      <c r="AQ717" s="1006"/>
      <c r="AR717" s="1006"/>
      <c r="AS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c r="AA718" s="1006"/>
      <c r="AB718" s="1006"/>
      <c r="AC718" s="1006"/>
      <c r="AD718" s="1006"/>
      <c r="AE718" s="1006"/>
      <c r="AF718" s="1006"/>
      <c r="AG718" s="1006"/>
      <c r="AH718" s="1006"/>
      <c r="AI718" s="1006"/>
      <c r="AJ718" s="1006"/>
      <c r="AK718" s="1006"/>
      <c r="AL718" s="1006"/>
      <c r="AM718" s="1006"/>
      <c r="AN718" s="1006"/>
      <c r="AO718" s="1006"/>
      <c r="AP718" s="1006"/>
      <c r="AQ718" s="1006"/>
      <c r="AR718" s="1006"/>
      <c r="AS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c r="AA719" s="1006"/>
      <c r="AB719" s="1006"/>
      <c r="AC719" s="1006"/>
      <c r="AD719" s="1006"/>
      <c r="AE719" s="1006"/>
      <c r="AF719" s="1006"/>
      <c r="AG719" s="1006"/>
      <c r="AH719" s="1006"/>
      <c r="AI719" s="1006"/>
      <c r="AJ719" s="1006"/>
      <c r="AK719" s="1006"/>
      <c r="AL719" s="1006"/>
      <c r="AM719" s="1006"/>
      <c r="AN719" s="1006"/>
      <c r="AO719" s="1006"/>
      <c r="AP719" s="1006"/>
      <c r="AQ719" s="1006"/>
      <c r="AR719" s="1006"/>
      <c r="AS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c r="AA720" s="1006"/>
      <c r="AB720" s="1006"/>
      <c r="AC720" s="1006"/>
      <c r="AD720" s="1006"/>
      <c r="AE720" s="1006"/>
      <c r="AF720" s="1006"/>
      <c r="AG720" s="1006"/>
      <c r="AH720" s="1006"/>
      <c r="AI720" s="1006"/>
      <c r="AJ720" s="1006"/>
      <c r="AK720" s="1006"/>
      <c r="AL720" s="1006"/>
      <c r="AM720" s="1006"/>
      <c r="AN720" s="1006"/>
      <c r="AO720" s="1006"/>
      <c r="AP720" s="1006"/>
      <c r="AQ720" s="1006"/>
      <c r="AR720" s="1006"/>
      <c r="AS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c r="AA721" s="1006"/>
      <c r="AB721" s="1006"/>
      <c r="AC721" s="1006"/>
      <c r="AD721" s="1006"/>
      <c r="AE721" s="1006"/>
      <c r="AF721" s="1006"/>
      <c r="AG721" s="1006"/>
      <c r="AH721" s="1006"/>
      <c r="AI721" s="1006"/>
      <c r="AJ721" s="1006"/>
      <c r="AK721" s="1006"/>
      <c r="AL721" s="1006"/>
      <c r="AM721" s="1006"/>
      <c r="AN721" s="1006"/>
      <c r="AO721" s="1006"/>
      <c r="AP721" s="1006"/>
      <c r="AQ721" s="1006"/>
      <c r="AR721" s="1006"/>
      <c r="AS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c r="AA722" s="1006"/>
      <c r="AB722" s="1006"/>
      <c r="AC722" s="1006"/>
      <c r="AD722" s="1006"/>
      <c r="AE722" s="1006"/>
      <c r="AF722" s="1006"/>
      <c r="AG722" s="1006"/>
      <c r="AH722" s="1006"/>
      <c r="AI722" s="1006"/>
      <c r="AJ722" s="1006"/>
      <c r="AK722" s="1006"/>
      <c r="AL722" s="1006"/>
      <c r="AM722" s="1006"/>
      <c r="AN722" s="1006"/>
      <c r="AO722" s="1006"/>
      <c r="AP722" s="1006"/>
      <c r="AQ722" s="1006"/>
      <c r="AR722" s="1006"/>
      <c r="AS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c r="AA723" s="1006"/>
      <c r="AB723" s="1006"/>
      <c r="AC723" s="1006"/>
      <c r="AD723" s="1006"/>
      <c r="AE723" s="1006"/>
      <c r="AF723" s="1006"/>
      <c r="AG723" s="1006"/>
      <c r="AH723" s="1006"/>
      <c r="AI723" s="1006"/>
      <c r="AJ723" s="1006"/>
      <c r="AK723" s="1006"/>
      <c r="AL723" s="1006"/>
      <c r="AM723" s="1006"/>
      <c r="AN723" s="1006"/>
      <c r="AO723" s="1006"/>
      <c r="AP723" s="1006"/>
      <c r="AQ723" s="1006"/>
      <c r="AR723" s="1006"/>
      <c r="AS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c r="AA724" s="1006"/>
      <c r="AB724" s="1006"/>
      <c r="AC724" s="1006"/>
      <c r="AD724" s="1006"/>
      <c r="AE724" s="1006"/>
      <c r="AF724" s="1006"/>
      <c r="AG724" s="1006"/>
      <c r="AH724" s="1006"/>
      <c r="AI724" s="1006"/>
      <c r="AJ724" s="1006"/>
      <c r="AK724" s="1006"/>
      <c r="AL724" s="1006"/>
      <c r="AM724" s="1006"/>
      <c r="AN724" s="1006"/>
      <c r="AO724" s="1006"/>
      <c r="AP724" s="1006"/>
      <c r="AQ724" s="1006"/>
      <c r="AR724" s="1006"/>
      <c r="AS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c r="AA725" s="1006"/>
      <c r="AB725" s="1006"/>
      <c r="AC725" s="1006"/>
      <c r="AD725" s="1006"/>
      <c r="AE725" s="1006"/>
      <c r="AF725" s="1006"/>
      <c r="AG725" s="1006"/>
      <c r="AH725" s="1006"/>
      <c r="AI725" s="1006"/>
      <c r="AJ725" s="1006"/>
      <c r="AK725" s="1006"/>
      <c r="AL725" s="1006"/>
      <c r="AM725" s="1006"/>
      <c r="AN725" s="1006"/>
      <c r="AO725" s="1006"/>
      <c r="AP725" s="1006"/>
      <c r="AQ725" s="1006"/>
      <c r="AR725" s="1006"/>
      <c r="AS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c r="AA726" s="1006"/>
      <c r="AB726" s="1006"/>
      <c r="AC726" s="1006"/>
      <c r="AD726" s="1006"/>
      <c r="AE726" s="1006"/>
      <c r="AF726" s="1006"/>
      <c r="AG726" s="1006"/>
      <c r="AH726" s="1006"/>
      <c r="AI726" s="1006"/>
      <c r="AJ726" s="1006"/>
      <c r="AK726" s="1006"/>
      <c r="AL726" s="1006"/>
      <c r="AM726" s="1006"/>
      <c r="AN726" s="1006"/>
      <c r="AO726" s="1006"/>
      <c r="AP726" s="1006"/>
      <c r="AQ726" s="1006"/>
      <c r="AR726" s="1006"/>
      <c r="AS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c r="AA727" s="1006"/>
      <c r="AB727" s="1006"/>
      <c r="AC727" s="1006"/>
      <c r="AD727" s="1006"/>
      <c r="AE727" s="1006"/>
      <c r="AF727" s="1006"/>
      <c r="AG727" s="1006"/>
      <c r="AH727" s="1006"/>
      <c r="AI727" s="1006"/>
      <c r="AJ727" s="1006"/>
      <c r="AK727" s="1006"/>
      <c r="AL727" s="1006"/>
      <c r="AM727" s="1006"/>
      <c r="AN727" s="1006"/>
      <c r="AO727" s="1006"/>
      <c r="AP727" s="1006"/>
      <c r="AQ727" s="1006"/>
      <c r="AR727" s="1006"/>
      <c r="AS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c r="AA728" s="1006"/>
      <c r="AB728" s="1006"/>
      <c r="AC728" s="1006"/>
      <c r="AD728" s="1006"/>
      <c r="AE728" s="1006"/>
      <c r="AF728" s="1006"/>
      <c r="AG728" s="1006"/>
      <c r="AH728" s="1006"/>
      <c r="AI728" s="1006"/>
      <c r="AJ728" s="1006"/>
      <c r="AK728" s="1006"/>
      <c r="AL728" s="1006"/>
      <c r="AM728" s="1006"/>
      <c r="AN728" s="1006"/>
      <c r="AO728" s="1006"/>
      <c r="AP728" s="1006"/>
      <c r="AQ728" s="1006"/>
      <c r="AR728" s="1006"/>
      <c r="AS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c r="AA729" s="1006"/>
      <c r="AB729" s="1006"/>
      <c r="AC729" s="1006"/>
      <c r="AD729" s="1006"/>
      <c r="AE729" s="1006"/>
      <c r="AF729" s="1006"/>
      <c r="AG729" s="1006"/>
      <c r="AH729" s="1006"/>
      <c r="AI729" s="1006"/>
      <c r="AJ729" s="1006"/>
      <c r="AK729" s="1006"/>
      <c r="AL729" s="1006"/>
      <c r="AM729" s="1006"/>
      <c r="AN729" s="1006"/>
      <c r="AO729" s="1006"/>
      <c r="AP729" s="1006"/>
      <c r="AQ729" s="1006"/>
      <c r="AR729" s="1006"/>
      <c r="AS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c r="AA730" s="1006"/>
      <c r="AB730" s="1006"/>
      <c r="AC730" s="1006"/>
      <c r="AD730" s="1006"/>
      <c r="AE730" s="1006"/>
      <c r="AF730" s="1006"/>
      <c r="AG730" s="1006"/>
      <c r="AH730" s="1006"/>
      <c r="AI730" s="1006"/>
      <c r="AJ730" s="1006"/>
      <c r="AK730" s="1006"/>
      <c r="AL730" s="1006"/>
      <c r="AM730" s="1006"/>
      <c r="AN730" s="1006"/>
      <c r="AO730" s="1006"/>
      <c r="AP730" s="1006"/>
      <c r="AQ730" s="1006"/>
      <c r="AR730" s="1006"/>
      <c r="AS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c r="AA731" s="1006"/>
      <c r="AB731" s="1006"/>
      <c r="AC731" s="1006"/>
      <c r="AD731" s="1006"/>
      <c r="AE731" s="1006"/>
      <c r="AF731" s="1006"/>
      <c r="AG731" s="1006"/>
      <c r="AH731" s="1006"/>
      <c r="AI731" s="1006"/>
      <c r="AJ731" s="1006"/>
      <c r="AK731" s="1006"/>
      <c r="AL731" s="1006"/>
      <c r="AM731" s="1006"/>
      <c r="AN731" s="1006"/>
      <c r="AO731" s="1006"/>
      <c r="AP731" s="1006"/>
      <c r="AQ731" s="1006"/>
      <c r="AR731" s="1006"/>
      <c r="AS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c r="AA732" s="1006"/>
      <c r="AB732" s="1006"/>
      <c r="AC732" s="1006"/>
      <c r="AD732" s="1006"/>
      <c r="AE732" s="1006"/>
      <c r="AF732" s="1006"/>
      <c r="AG732" s="1006"/>
      <c r="AH732" s="1006"/>
      <c r="AI732" s="1006"/>
      <c r="AJ732" s="1006"/>
      <c r="AK732" s="1006"/>
      <c r="AL732" s="1006"/>
      <c r="AM732" s="1006"/>
      <c r="AN732" s="1006"/>
      <c r="AO732" s="1006"/>
      <c r="AP732" s="1006"/>
      <c r="AQ732" s="1006"/>
      <c r="AR732" s="1006"/>
      <c r="AS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c r="AA733" s="1006"/>
      <c r="AB733" s="1006"/>
      <c r="AC733" s="1006"/>
      <c r="AD733" s="1006"/>
      <c r="AE733" s="1006"/>
      <c r="AF733" s="1006"/>
      <c r="AG733" s="1006"/>
      <c r="AH733" s="1006"/>
      <c r="AI733" s="1006"/>
      <c r="AJ733" s="1006"/>
      <c r="AK733" s="1006"/>
      <c r="AL733" s="1006"/>
      <c r="AM733" s="1006"/>
      <c r="AN733" s="1006"/>
      <c r="AO733" s="1006"/>
      <c r="AP733" s="1006"/>
      <c r="AQ733" s="1006"/>
      <c r="AR733" s="1006"/>
      <c r="AS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c r="AA734" s="1006"/>
      <c r="AB734" s="1006"/>
      <c r="AC734" s="1006"/>
      <c r="AD734" s="1006"/>
      <c r="AE734" s="1006"/>
      <c r="AF734" s="1006"/>
      <c r="AG734" s="1006"/>
      <c r="AH734" s="1006"/>
      <c r="AI734" s="1006"/>
      <c r="AJ734" s="1006"/>
      <c r="AK734" s="1006"/>
      <c r="AL734" s="1006"/>
      <c r="AM734" s="1006"/>
      <c r="AN734" s="1006"/>
      <c r="AO734" s="1006"/>
      <c r="AP734" s="1006"/>
      <c r="AQ734" s="1006"/>
      <c r="AR734" s="1006"/>
      <c r="AS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c r="AA735" s="1006"/>
      <c r="AB735" s="1006"/>
      <c r="AC735" s="1006"/>
      <c r="AD735" s="1006"/>
      <c r="AE735" s="1006"/>
      <c r="AF735" s="1006"/>
      <c r="AG735" s="1006"/>
      <c r="AH735" s="1006"/>
      <c r="AI735" s="1006"/>
      <c r="AJ735" s="1006"/>
      <c r="AK735" s="1006"/>
      <c r="AL735" s="1006"/>
      <c r="AM735" s="1006"/>
      <c r="AN735" s="1006"/>
      <c r="AO735" s="1006"/>
      <c r="AP735" s="1006"/>
      <c r="AQ735" s="1006"/>
      <c r="AR735" s="1006"/>
      <c r="AS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c r="AA736" s="1006"/>
      <c r="AB736" s="1006"/>
      <c r="AC736" s="1006"/>
      <c r="AD736" s="1006"/>
      <c r="AE736" s="1006"/>
      <c r="AF736" s="1006"/>
      <c r="AG736" s="1006"/>
      <c r="AH736" s="1006"/>
      <c r="AI736" s="1006"/>
      <c r="AJ736" s="1006"/>
      <c r="AK736" s="1006"/>
      <c r="AL736" s="1006"/>
      <c r="AM736" s="1006"/>
      <c r="AN736" s="1006"/>
      <c r="AO736" s="1006"/>
      <c r="AP736" s="1006"/>
      <c r="AQ736" s="1006"/>
      <c r="AR736" s="1006"/>
      <c r="AS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c r="AA737" s="1006"/>
      <c r="AB737" s="1006"/>
      <c r="AC737" s="1006"/>
      <c r="AD737" s="1006"/>
      <c r="AE737" s="1006"/>
      <c r="AF737" s="1006"/>
      <c r="AG737" s="1006"/>
      <c r="AH737" s="1006"/>
      <c r="AI737" s="1006"/>
      <c r="AJ737" s="1006"/>
      <c r="AK737" s="1006"/>
      <c r="AL737" s="1006"/>
      <c r="AM737" s="1006"/>
      <c r="AN737" s="1006"/>
      <c r="AO737" s="1006"/>
      <c r="AP737" s="1006"/>
      <c r="AQ737" s="1006"/>
      <c r="AR737" s="1006"/>
      <c r="AS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c r="AA738" s="1006"/>
      <c r="AB738" s="1006"/>
      <c r="AC738" s="1006"/>
      <c r="AD738" s="1006"/>
      <c r="AE738" s="1006"/>
      <c r="AF738" s="1006"/>
      <c r="AG738" s="1006"/>
      <c r="AH738" s="1006"/>
      <c r="AI738" s="1006"/>
      <c r="AJ738" s="1006"/>
      <c r="AK738" s="1006"/>
      <c r="AL738" s="1006"/>
      <c r="AM738" s="1006"/>
      <c r="AN738" s="1006"/>
      <c r="AO738" s="1006"/>
      <c r="AP738" s="1006"/>
      <c r="AQ738" s="1006"/>
      <c r="AR738" s="1006"/>
      <c r="AS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c r="AA739" s="1006"/>
      <c r="AB739" s="1006"/>
      <c r="AC739" s="1006"/>
      <c r="AD739" s="1006"/>
      <c r="AE739" s="1006"/>
      <c r="AF739" s="1006"/>
      <c r="AG739" s="1006"/>
      <c r="AH739" s="1006"/>
      <c r="AI739" s="1006"/>
      <c r="AJ739" s="1006"/>
      <c r="AK739" s="1006"/>
      <c r="AL739" s="1006"/>
      <c r="AM739" s="1006"/>
      <c r="AN739" s="1006"/>
      <c r="AO739" s="1006"/>
      <c r="AP739" s="1006"/>
      <c r="AQ739" s="1006"/>
      <c r="AR739" s="1006"/>
      <c r="AS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c r="AA740" s="1006"/>
      <c r="AB740" s="1006"/>
      <c r="AC740" s="1006"/>
      <c r="AD740" s="1006"/>
      <c r="AE740" s="1006"/>
      <c r="AF740" s="1006"/>
      <c r="AG740" s="1006"/>
      <c r="AH740" s="1006"/>
      <c r="AI740" s="1006"/>
      <c r="AJ740" s="1006"/>
      <c r="AK740" s="1006"/>
      <c r="AL740" s="1006"/>
      <c r="AM740" s="1006"/>
      <c r="AN740" s="1006"/>
      <c r="AO740" s="1006"/>
      <c r="AP740" s="1006"/>
      <c r="AQ740" s="1006"/>
      <c r="AR740" s="1006"/>
      <c r="AS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c r="AA741" s="1006"/>
      <c r="AB741" s="1006"/>
      <c r="AC741" s="1006"/>
      <c r="AD741" s="1006"/>
      <c r="AE741" s="1006"/>
      <c r="AF741" s="1006"/>
      <c r="AG741" s="1006"/>
      <c r="AH741" s="1006"/>
      <c r="AI741" s="1006"/>
      <c r="AJ741" s="1006"/>
      <c r="AK741" s="1006"/>
      <c r="AL741" s="1006"/>
      <c r="AM741" s="1006"/>
      <c r="AN741" s="1006"/>
      <c r="AO741" s="1006"/>
      <c r="AP741" s="1006"/>
      <c r="AQ741" s="1006"/>
      <c r="AR741" s="1006"/>
      <c r="AS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c r="AA742" s="1006"/>
      <c r="AB742" s="1006"/>
      <c r="AC742" s="1006"/>
      <c r="AD742" s="1006"/>
      <c r="AE742" s="1006"/>
      <c r="AF742" s="1006"/>
      <c r="AG742" s="1006"/>
      <c r="AH742" s="1006"/>
      <c r="AI742" s="1006"/>
      <c r="AJ742" s="1006"/>
      <c r="AK742" s="1006"/>
      <c r="AL742" s="1006"/>
      <c r="AM742" s="1006"/>
      <c r="AN742" s="1006"/>
      <c r="AO742" s="1006"/>
      <c r="AP742" s="1006"/>
      <c r="AQ742" s="1006"/>
      <c r="AR742" s="1006"/>
      <c r="AS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c r="AA743" s="1006"/>
      <c r="AB743" s="1006"/>
      <c r="AC743" s="1006"/>
      <c r="AD743" s="1006"/>
      <c r="AE743" s="1006"/>
      <c r="AF743" s="1006"/>
      <c r="AG743" s="1006"/>
      <c r="AH743" s="1006"/>
      <c r="AI743" s="1006"/>
      <c r="AJ743" s="1006"/>
      <c r="AK743" s="1006"/>
      <c r="AL743" s="1006"/>
      <c r="AM743" s="1006"/>
      <c r="AN743" s="1006"/>
      <c r="AO743" s="1006"/>
      <c r="AP743" s="1006"/>
      <c r="AQ743" s="1006"/>
      <c r="AR743" s="1006"/>
      <c r="AS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c r="AA744" s="1006"/>
      <c r="AB744" s="1006"/>
      <c r="AC744" s="1006"/>
      <c r="AD744" s="1006"/>
      <c r="AE744" s="1006"/>
      <c r="AF744" s="1006"/>
      <c r="AG744" s="1006"/>
      <c r="AH744" s="1006"/>
      <c r="AI744" s="1006"/>
      <c r="AJ744" s="1006"/>
      <c r="AK744" s="1006"/>
      <c r="AL744" s="1006"/>
      <c r="AM744" s="1006"/>
      <c r="AN744" s="1006"/>
      <c r="AO744" s="1006"/>
      <c r="AP744" s="1006"/>
      <c r="AQ744" s="1006"/>
      <c r="AR744" s="1006"/>
      <c r="AS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c r="AA745" s="1006"/>
      <c r="AB745" s="1006"/>
      <c r="AC745" s="1006"/>
      <c r="AD745" s="1006"/>
      <c r="AE745" s="1006"/>
      <c r="AF745" s="1006"/>
      <c r="AG745" s="1006"/>
      <c r="AH745" s="1006"/>
      <c r="AI745" s="1006"/>
      <c r="AJ745" s="1006"/>
      <c r="AK745" s="1006"/>
      <c r="AL745" s="1006"/>
      <c r="AM745" s="1006"/>
      <c r="AN745" s="1006"/>
      <c r="AO745" s="1006"/>
      <c r="AP745" s="1006"/>
      <c r="AQ745" s="1006"/>
      <c r="AR745" s="1006"/>
      <c r="AS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c r="AA746" s="1006"/>
      <c r="AB746" s="1006"/>
      <c r="AC746" s="1006"/>
      <c r="AD746" s="1006"/>
      <c r="AE746" s="1006"/>
      <c r="AF746" s="1006"/>
      <c r="AG746" s="1006"/>
      <c r="AH746" s="1006"/>
      <c r="AI746" s="1006"/>
      <c r="AJ746" s="1006"/>
      <c r="AK746" s="1006"/>
      <c r="AL746" s="1006"/>
      <c r="AM746" s="1006"/>
      <c r="AN746" s="1006"/>
      <c r="AO746" s="1006"/>
      <c r="AP746" s="1006"/>
      <c r="AQ746" s="1006"/>
      <c r="AR746" s="1006"/>
      <c r="AS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c r="AA747" s="1006"/>
      <c r="AB747" s="1006"/>
      <c r="AC747" s="1006"/>
      <c r="AD747" s="1006"/>
      <c r="AE747" s="1006"/>
      <c r="AF747" s="1006"/>
      <c r="AG747" s="1006"/>
      <c r="AH747" s="1006"/>
      <c r="AI747" s="1006"/>
      <c r="AJ747" s="1006"/>
      <c r="AK747" s="1006"/>
      <c r="AL747" s="1006"/>
      <c r="AM747" s="1006"/>
      <c r="AN747" s="1006"/>
      <c r="AO747" s="1006"/>
      <c r="AP747" s="1006"/>
      <c r="AQ747" s="1006"/>
      <c r="AR747" s="1006"/>
      <c r="AS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c r="AA748" s="1006"/>
      <c r="AB748" s="1006"/>
      <c r="AC748" s="1006"/>
      <c r="AD748" s="1006"/>
      <c r="AE748" s="1006"/>
      <c r="AF748" s="1006"/>
      <c r="AG748" s="1006"/>
      <c r="AH748" s="1006"/>
      <c r="AI748" s="1006"/>
      <c r="AJ748" s="1006"/>
      <c r="AK748" s="1006"/>
      <c r="AL748" s="1006"/>
      <c r="AM748" s="1006"/>
      <c r="AN748" s="1006"/>
      <c r="AO748" s="1006"/>
      <c r="AP748" s="1006"/>
      <c r="AQ748" s="1006"/>
      <c r="AR748" s="1006"/>
      <c r="AS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c r="AA749" s="1006"/>
      <c r="AB749" s="1006"/>
      <c r="AC749" s="1006"/>
      <c r="AD749" s="1006"/>
      <c r="AE749" s="1006"/>
      <c r="AF749" s="1006"/>
      <c r="AG749" s="1006"/>
      <c r="AH749" s="1006"/>
      <c r="AI749" s="1006"/>
      <c r="AJ749" s="1006"/>
      <c r="AK749" s="1006"/>
      <c r="AL749" s="1006"/>
      <c r="AM749" s="1006"/>
      <c r="AN749" s="1006"/>
      <c r="AO749" s="1006"/>
      <c r="AP749" s="1006"/>
      <c r="AQ749" s="1006"/>
      <c r="AR749" s="1006"/>
      <c r="AS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c r="AA750" s="1006"/>
      <c r="AB750" s="1006"/>
      <c r="AC750" s="1006"/>
      <c r="AD750" s="1006"/>
      <c r="AE750" s="1006"/>
      <c r="AF750" s="1006"/>
      <c r="AG750" s="1006"/>
      <c r="AH750" s="1006"/>
      <c r="AI750" s="1006"/>
      <c r="AJ750" s="1006"/>
      <c r="AK750" s="1006"/>
      <c r="AL750" s="1006"/>
      <c r="AM750" s="1006"/>
      <c r="AN750" s="1006"/>
      <c r="AO750" s="1006"/>
      <c r="AP750" s="1006"/>
      <c r="AQ750" s="1006"/>
      <c r="AR750" s="1006"/>
      <c r="AS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c r="AA751" s="1006"/>
      <c r="AB751" s="1006"/>
      <c r="AC751" s="1006"/>
      <c r="AD751" s="1006"/>
      <c r="AE751" s="1006"/>
      <c r="AF751" s="1006"/>
      <c r="AG751" s="1006"/>
      <c r="AH751" s="1006"/>
      <c r="AI751" s="1006"/>
      <c r="AJ751" s="1006"/>
      <c r="AK751" s="1006"/>
      <c r="AL751" s="1006"/>
      <c r="AM751" s="1006"/>
      <c r="AN751" s="1006"/>
      <c r="AO751" s="1006"/>
      <c r="AP751" s="1006"/>
      <c r="AQ751" s="1006"/>
      <c r="AR751" s="1006"/>
      <c r="AS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c r="AA752" s="1006"/>
      <c r="AB752" s="1006"/>
      <c r="AC752" s="1006"/>
      <c r="AD752" s="1006"/>
      <c r="AE752" s="1006"/>
      <c r="AF752" s="1006"/>
      <c r="AG752" s="1006"/>
      <c r="AH752" s="1006"/>
      <c r="AI752" s="1006"/>
      <c r="AJ752" s="1006"/>
      <c r="AK752" s="1006"/>
      <c r="AL752" s="1006"/>
      <c r="AM752" s="1006"/>
      <c r="AN752" s="1006"/>
      <c r="AO752" s="1006"/>
      <c r="AP752" s="1006"/>
      <c r="AQ752" s="1006"/>
      <c r="AR752" s="1006"/>
      <c r="AS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c r="AA753" s="1006"/>
      <c r="AB753" s="1006"/>
      <c r="AC753" s="1006"/>
      <c r="AD753" s="1006"/>
      <c r="AE753" s="1006"/>
      <c r="AF753" s="1006"/>
      <c r="AG753" s="1006"/>
      <c r="AH753" s="1006"/>
      <c r="AI753" s="1006"/>
      <c r="AJ753" s="1006"/>
      <c r="AK753" s="1006"/>
      <c r="AL753" s="1006"/>
      <c r="AM753" s="1006"/>
      <c r="AN753" s="1006"/>
      <c r="AO753" s="1006"/>
      <c r="AP753" s="1006"/>
      <c r="AQ753" s="1006"/>
      <c r="AR753" s="1006"/>
      <c r="AS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c r="AA754" s="1006"/>
      <c r="AB754" s="1006"/>
      <c r="AC754" s="1006"/>
      <c r="AD754" s="1006"/>
      <c r="AE754" s="1006"/>
      <c r="AF754" s="1006"/>
      <c r="AG754" s="1006"/>
      <c r="AH754" s="1006"/>
      <c r="AI754" s="1006"/>
      <c r="AJ754" s="1006"/>
      <c r="AK754" s="1006"/>
      <c r="AL754" s="1006"/>
      <c r="AM754" s="1006"/>
      <c r="AN754" s="1006"/>
      <c r="AO754" s="1006"/>
      <c r="AP754" s="1006"/>
      <c r="AQ754" s="1006"/>
      <c r="AR754" s="1006"/>
      <c r="AS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c r="AA755" s="1006"/>
      <c r="AB755" s="1006"/>
      <c r="AC755" s="1006"/>
      <c r="AD755" s="1006"/>
      <c r="AE755" s="1006"/>
      <c r="AF755" s="1006"/>
      <c r="AG755" s="1006"/>
      <c r="AH755" s="1006"/>
      <c r="AI755" s="1006"/>
      <c r="AJ755" s="1006"/>
      <c r="AK755" s="1006"/>
      <c r="AL755" s="1006"/>
      <c r="AM755" s="1006"/>
      <c r="AN755" s="1006"/>
      <c r="AO755" s="1006"/>
      <c r="AP755" s="1006"/>
      <c r="AQ755" s="1006"/>
      <c r="AR755" s="1006"/>
      <c r="AS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c r="AA756" s="1006"/>
      <c r="AB756" s="1006"/>
      <c r="AC756" s="1006"/>
      <c r="AD756" s="1006"/>
      <c r="AE756" s="1006"/>
      <c r="AF756" s="1006"/>
      <c r="AG756" s="1006"/>
      <c r="AH756" s="1006"/>
      <c r="AI756" s="1006"/>
      <c r="AJ756" s="1006"/>
      <c r="AK756" s="1006"/>
      <c r="AL756" s="1006"/>
      <c r="AM756" s="1006"/>
      <c r="AN756" s="1006"/>
      <c r="AO756" s="1006"/>
      <c r="AP756" s="1006"/>
      <c r="AQ756" s="1006"/>
      <c r="AR756" s="1006"/>
      <c r="AS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c r="AA757" s="1006"/>
      <c r="AB757" s="1006"/>
      <c r="AC757" s="1006"/>
      <c r="AD757" s="1006"/>
      <c r="AE757" s="1006"/>
      <c r="AF757" s="1006"/>
      <c r="AG757" s="1006"/>
      <c r="AH757" s="1006"/>
      <c r="AI757" s="1006"/>
      <c r="AJ757" s="1006"/>
      <c r="AK757" s="1006"/>
      <c r="AL757" s="1006"/>
      <c r="AM757" s="1006"/>
      <c r="AN757" s="1006"/>
      <c r="AO757" s="1006"/>
      <c r="AP757" s="1006"/>
      <c r="AQ757" s="1006"/>
      <c r="AR757" s="1006"/>
      <c r="AS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c r="AA758" s="1006"/>
      <c r="AB758" s="1006"/>
      <c r="AC758" s="1006"/>
      <c r="AD758" s="1006"/>
      <c r="AE758" s="1006"/>
      <c r="AF758" s="1006"/>
      <c r="AG758" s="1006"/>
      <c r="AH758" s="1006"/>
      <c r="AI758" s="1006"/>
      <c r="AJ758" s="1006"/>
      <c r="AK758" s="1006"/>
      <c r="AL758" s="1006"/>
      <c r="AM758" s="1006"/>
      <c r="AN758" s="1006"/>
      <c r="AO758" s="1006"/>
      <c r="AP758" s="1006"/>
      <c r="AQ758" s="1006"/>
      <c r="AR758" s="1006"/>
      <c r="AS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c r="AA759" s="1006"/>
      <c r="AB759" s="1006"/>
      <c r="AC759" s="1006"/>
      <c r="AD759" s="1006"/>
      <c r="AE759" s="1006"/>
      <c r="AF759" s="1006"/>
      <c r="AG759" s="1006"/>
      <c r="AH759" s="1006"/>
      <c r="AI759" s="1006"/>
      <c r="AJ759" s="1006"/>
      <c r="AK759" s="1006"/>
      <c r="AL759" s="1006"/>
      <c r="AM759" s="1006"/>
      <c r="AN759" s="1006"/>
      <c r="AO759" s="1006"/>
      <c r="AP759" s="1006"/>
      <c r="AQ759" s="1006"/>
      <c r="AR759" s="1006"/>
      <c r="AS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c r="AA760" s="1006"/>
      <c r="AB760" s="1006"/>
      <c r="AC760" s="1006"/>
      <c r="AD760" s="1006"/>
      <c r="AE760" s="1006"/>
      <c r="AF760" s="1006"/>
      <c r="AG760" s="1006"/>
      <c r="AH760" s="1006"/>
      <c r="AI760" s="1006"/>
      <c r="AJ760" s="1006"/>
      <c r="AK760" s="1006"/>
      <c r="AL760" s="1006"/>
      <c r="AM760" s="1006"/>
      <c r="AN760" s="1006"/>
      <c r="AO760" s="1006"/>
      <c r="AP760" s="1006"/>
      <c r="AQ760" s="1006"/>
      <c r="AR760" s="1006"/>
      <c r="AS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c r="AA761" s="1006"/>
      <c r="AB761" s="1006"/>
      <c r="AC761" s="1006"/>
      <c r="AD761" s="1006"/>
      <c r="AE761" s="1006"/>
      <c r="AF761" s="1006"/>
      <c r="AG761" s="1006"/>
      <c r="AH761" s="1006"/>
      <c r="AI761" s="1006"/>
      <c r="AJ761" s="1006"/>
      <c r="AK761" s="1006"/>
      <c r="AL761" s="1006"/>
      <c r="AM761" s="1006"/>
      <c r="AN761" s="1006"/>
      <c r="AO761" s="1006"/>
      <c r="AP761" s="1006"/>
      <c r="AQ761" s="1006"/>
      <c r="AR761" s="1006"/>
      <c r="AS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c r="AA762" s="1006"/>
      <c r="AB762" s="1006"/>
      <c r="AC762" s="1006"/>
      <c r="AD762" s="1006"/>
      <c r="AE762" s="1006"/>
      <c r="AF762" s="1006"/>
      <c r="AG762" s="1006"/>
      <c r="AH762" s="1006"/>
      <c r="AI762" s="1006"/>
      <c r="AJ762" s="1006"/>
      <c r="AK762" s="1006"/>
      <c r="AL762" s="1006"/>
      <c r="AM762" s="1006"/>
      <c r="AN762" s="1006"/>
      <c r="AO762" s="1006"/>
      <c r="AP762" s="1006"/>
      <c r="AQ762" s="1006"/>
      <c r="AR762" s="1006"/>
      <c r="AS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c r="AA763" s="1006"/>
      <c r="AB763" s="1006"/>
      <c r="AC763" s="1006"/>
      <c r="AD763" s="1006"/>
      <c r="AE763" s="1006"/>
      <c r="AF763" s="1006"/>
      <c r="AG763" s="1006"/>
      <c r="AH763" s="1006"/>
      <c r="AI763" s="1006"/>
      <c r="AJ763" s="1006"/>
      <c r="AK763" s="1006"/>
      <c r="AL763" s="1006"/>
      <c r="AM763" s="1006"/>
      <c r="AN763" s="1006"/>
      <c r="AO763" s="1006"/>
      <c r="AP763" s="1006"/>
      <c r="AQ763" s="1006"/>
      <c r="AR763" s="1006"/>
      <c r="AS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c r="AA764" s="1006"/>
      <c r="AB764" s="1006"/>
      <c r="AC764" s="1006"/>
      <c r="AD764" s="1006"/>
      <c r="AE764" s="1006"/>
      <c r="AF764" s="1006"/>
      <c r="AG764" s="1006"/>
      <c r="AH764" s="1006"/>
      <c r="AI764" s="1006"/>
      <c r="AJ764" s="1006"/>
      <c r="AK764" s="1006"/>
      <c r="AL764" s="1006"/>
      <c r="AM764" s="1006"/>
      <c r="AN764" s="1006"/>
      <c r="AO764" s="1006"/>
      <c r="AP764" s="1006"/>
      <c r="AQ764" s="1006"/>
      <c r="AR764" s="1006"/>
      <c r="AS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c r="AA765" s="1006"/>
      <c r="AB765" s="1006"/>
      <c r="AC765" s="1006"/>
      <c r="AD765" s="1006"/>
      <c r="AE765" s="1006"/>
      <c r="AF765" s="1006"/>
      <c r="AG765" s="1006"/>
      <c r="AH765" s="1006"/>
      <c r="AI765" s="1006"/>
      <c r="AJ765" s="1006"/>
      <c r="AK765" s="1006"/>
      <c r="AL765" s="1006"/>
      <c r="AM765" s="1006"/>
      <c r="AN765" s="1006"/>
      <c r="AO765" s="1006"/>
      <c r="AP765" s="1006"/>
      <c r="AQ765" s="1006"/>
      <c r="AR765" s="1006"/>
      <c r="AS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c r="AA766" s="1006"/>
      <c r="AB766" s="1006"/>
      <c r="AC766" s="1006"/>
      <c r="AD766" s="1006"/>
      <c r="AE766" s="1006"/>
      <c r="AF766" s="1006"/>
      <c r="AG766" s="1006"/>
      <c r="AH766" s="1006"/>
      <c r="AI766" s="1006"/>
      <c r="AJ766" s="1006"/>
      <c r="AK766" s="1006"/>
      <c r="AL766" s="1006"/>
      <c r="AM766" s="1006"/>
      <c r="AN766" s="1006"/>
      <c r="AO766" s="1006"/>
      <c r="AP766" s="1006"/>
      <c r="AQ766" s="1006"/>
      <c r="AR766" s="1006"/>
      <c r="AS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c r="AA767" s="1006"/>
      <c r="AB767" s="1006"/>
      <c r="AC767" s="1006"/>
      <c r="AD767" s="1006"/>
      <c r="AE767" s="1006"/>
      <c r="AF767" s="1006"/>
      <c r="AG767" s="1006"/>
      <c r="AH767" s="1006"/>
      <c r="AI767" s="1006"/>
      <c r="AJ767" s="1006"/>
      <c r="AK767" s="1006"/>
      <c r="AL767" s="1006"/>
      <c r="AM767" s="1006"/>
      <c r="AN767" s="1006"/>
      <c r="AO767" s="1006"/>
      <c r="AP767" s="1006"/>
      <c r="AQ767" s="1006"/>
      <c r="AR767" s="1006"/>
      <c r="AS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c r="AA768" s="1006"/>
      <c r="AB768" s="1006"/>
      <c r="AC768" s="1006"/>
      <c r="AD768" s="1006"/>
      <c r="AE768" s="1006"/>
      <c r="AF768" s="1006"/>
      <c r="AG768" s="1006"/>
      <c r="AH768" s="1006"/>
      <c r="AI768" s="1006"/>
      <c r="AJ768" s="1006"/>
      <c r="AK768" s="1006"/>
      <c r="AL768" s="1006"/>
      <c r="AM768" s="1006"/>
      <c r="AN768" s="1006"/>
      <c r="AO768" s="1006"/>
      <c r="AP768" s="1006"/>
      <c r="AQ768" s="1006"/>
      <c r="AR768" s="1006"/>
      <c r="AS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c r="AA769" s="1006"/>
      <c r="AB769" s="1006"/>
      <c r="AC769" s="1006"/>
      <c r="AD769" s="1006"/>
      <c r="AE769" s="1006"/>
      <c r="AF769" s="1006"/>
      <c r="AG769" s="1006"/>
      <c r="AH769" s="1006"/>
      <c r="AI769" s="1006"/>
      <c r="AJ769" s="1006"/>
      <c r="AK769" s="1006"/>
      <c r="AL769" s="1006"/>
      <c r="AM769" s="1006"/>
      <c r="AN769" s="1006"/>
      <c r="AO769" s="1006"/>
      <c r="AP769" s="1006"/>
      <c r="AQ769" s="1006"/>
      <c r="AR769" s="1006"/>
      <c r="AS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c r="AA770" s="1006"/>
      <c r="AB770" s="1006"/>
      <c r="AC770" s="1006"/>
      <c r="AD770" s="1006"/>
      <c r="AE770" s="1006"/>
      <c r="AF770" s="1006"/>
      <c r="AG770" s="1006"/>
      <c r="AH770" s="1006"/>
      <c r="AI770" s="1006"/>
      <c r="AJ770" s="1006"/>
      <c r="AK770" s="1006"/>
      <c r="AL770" s="1006"/>
      <c r="AM770" s="1006"/>
      <c r="AN770" s="1006"/>
      <c r="AO770" s="1006"/>
      <c r="AP770" s="1006"/>
      <c r="AQ770" s="1006"/>
      <c r="AR770" s="1006"/>
      <c r="AS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c r="AA771" s="1006"/>
      <c r="AB771" s="1006"/>
      <c r="AC771" s="1006"/>
      <c r="AD771" s="1006"/>
      <c r="AE771" s="1006"/>
      <c r="AF771" s="1006"/>
      <c r="AG771" s="1006"/>
      <c r="AH771" s="1006"/>
      <c r="AI771" s="1006"/>
      <c r="AJ771" s="1006"/>
      <c r="AK771" s="1006"/>
      <c r="AL771" s="1006"/>
      <c r="AM771" s="1006"/>
      <c r="AN771" s="1006"/>
      <c r="AO771" s="1006"/>
      <c r="AP771" s="1006"/>
      <c r="AQ771" s="1006"/>
      <c r="AR771" s="1006"/>
      <c r="AS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c r="AA772" s="1006"/>
      <c r="AB772" s="1006"/>
      <c r="AC772" s="1006"/>
      <c r="AD772" s="1006"/>
      <c r="AE772" s="1006"/>
      <c r="AF772" s="1006"/>
      <c r="AG772" s="1006"/>
      <c r="AH772" s="1006"/>
      <c r="AI772" s="1006"/>
      <c r="AJ772" s="1006"/>
      <c r="AK772" s="1006"/>
      <c r="AL772" s="1006"/>
      <c r="AM772" s="1006"/>
      <c r="AN772" s="1006"/>
      <c r="AO772" s="1006"/>
      <c r="AP772" s="1006"/>
      <c r="AQ772" s="1006"/>
      <c r="AR772" s="1006"/>
      <c r="AS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c r="AA773" s="1006"/>
      <c r="AB773" s="1006"/>
      <c r="AC773" s="1006"/>
      <c r="AD773" s="1006"/>
      <c r="AE773" s="1006"/>
      <c r="AF773" s="1006"/>
      <c r="AG773" s="1006"/>
      <c r="AH773" s="1006"/>
      <c r="AI773" s="1006"/>
      <c r="AJ773" s="1006"/>
      <c r="AK773" s="1006"/>
      <c r="AL773" s="1006"/>
      <c r="AM773" s="1006"/>
      <c r="AN773" s="1006"/>
      <c r="AO773" s="1006"/>
      <c r="AP773" s="1006"/>
      <c r="AQ773" s="1006"/>
      <c r="AR773" s="1006"/>
      <c r="AS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c r="AA774" s="1006"/>
      <c r="AB774" s="1006"/>
      <c r="AC774" s="1006"/>
      <c r="AD774" s="1006"/>
      <c r="AE774" s="1006"/>
      <c r="AF774" s="1006"/>
      <c r="AG774" s="1006"/>
      <c r="AH774" s="1006"/>
      <c r="AI774" s="1006"/>
      <c r="AJ774" s="1006"/>
      <c r="AK774" s="1006"/>
      <c r="AL774" s="1006"/>
      <c r="AM774" s="1006"/>
      <c r="AN774" s="1006"/>
      <c r="AO774" s="1006"/>
      <c r="AP774" s="1006"/>
      <c r="AQ774" s="1006"/>
      <c r="AR774" s="1006"/>
      <c r="AS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c r="AA775" s="1006"/>
      <c r="AB775" s="1006"/>
      <c r="AC775" s="1006"/>
      <c r="AD775" s="1006"/>
      <c r="AE775" s="1006"/>
      <c r="AF775" s="1006"/>
      <c r="AG775" s="1006"/>
      <c r="AH775" s="1006"/>
      <c r="AI775" s="1006"/>
      <c r="AJ775" s="1006"/>
      <c r="AK775" s="1006"/>
      <c r="AL775" s="1006"/>
      <c r="AM775" s="1006"/>
      <c r="AN775" s="1006"/>
      <c r="AO775" s="1006"/>
      <c r="AP775" s="1006"/>
      <c r="AQ775" s="1006"/>
      <c r="AR775" s="1006"/>
      <c r="AS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c r="AA776" s="1006"/>
      <c r="AB776" s="1006"/>
      <c r="AC776" s="1006"/>
      <c r="AD776" s="1006"/>
      <c r="AE776" s="1006"/>
      <c r="AF776" s="1006"/>
      <c r="AG776" s="1006"/>
      <c r="AH776" s="1006"/>
      <c r="AI776" s="1006"/>
      <c r="AJ776" s="1006"/>
      <c r="AK776" s="1006"/>
      <c r="AL776" s="1006"/>
      <c r="AM776" s="1006"/>
      <c r="AN776" s="1006"/>
      <c r="AO776" s="1006"/>
      <c r="AP776" s="1006"/>
      <c r="AQ776" s="1006"/>
      <c r="AR776" s="1006"/>
      <c r="AS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c r="AA777" s="1006"/>
      <c r="AB777" s="1006"/>
      <c r="AC777" s="1006"/>
      <c r="AD777" s="1006"/>
      <c r="AE777" s="1006"/>
      <c r="AF777" s="1006"/>
      <c r="AG777" s="1006"/>
      <c r="AH777" s="1006"/>
      <c r="AI777" s="1006"/>
      <c r="AJ777" s="1006"/>
      <c r="AK777" s="1006"/>
      <c r="AL777" s="1006"/>
      <c r="AM777" s="1006"/>
      <c r="AN777" s="1006"/>
      <c r="AO777" s="1006"/>
      <c r="AP777" s="1006"/>
      <c r="AQ777" s="1006"/>
      <c r="AR777" s="1006"/>
      <c r="AS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c r="AA778" s="1006"/>
      <c r="AB778" s="1006"/>
      <c r="AC778" s="1006"/>
      <c r="AD778" s="1006"/>
      <c r="AE778" s="1006"/>
      <c r="AF778" s="1006"/>
      <c r="AG778" s="1006"/>
      <c r="AH778" s="1006"/>
      <c r="AI778" s="1006"/>
      <c r="AJ778" s="1006"/>
      <c r="AK778" s="1006"/>
      <c r="AL778" s="1006"/>
      <c r="AM778" s="1006"/>
      <c r="AN778" s="1006"/>
      <c r="AO778" s="1006"/>
      <c r="AP778" s="1006"/>
      <c r="AQ778" s="1006"/>
      <c r="AR778" s="1006"/>
      <c r="AS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c r="AA779" s="1006"/>
      <c r="AB779" s="1006"/>
      <c r="AC779" s="1006"/>
      <c r="AD779" s="1006"/>
      <c r="AE779" s="1006"/>
      <c r="AF779" s="1006"/>
      <c r="AG779" s="1006"/>
      <c r="AH779" s="1006"/>
      <c r="AI779" s="1006"/>
      <c r="AJ779" s="1006"/>
      <c r="AK779" s="1006"/>
      <c r="AL779" s="1006"/>
      <c r="AM779" s="1006"/>
      <c r="AN779" s="1006"/>
      <c r="AO779" s="1006"/>
      <c r="AP779" s="1006"/>
      <c r="AQ779" s="1006"/>
      <c r="AR779" s="1006"/>
      <c r="AS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c r="AA780" s="1006"/>
      <c r="AB780" s="1006"/>
      <c r="AC780" s="1006"/>
      <c r="AD780" s="1006"/>
      <c r="AE780" s="1006"/>
      <c r="AF780" s="1006"/>
      <c r="AG780" s="1006"/>
      <c r="AH780" s="1006"/>
      <c r="AI780" s="1006"/>
      <c r="AJ780" s="1006"/>
      <c r="AK780" s="1006"/>
      <c r="AL780" s="1006"/>
      <c r="AM780" s="1006"/>
      <c r="AN780" s="1006"/>
      <c r="AO780" s="1006"/>
      <c r="AP780" s="1006"/>
      <c r="AQ780" s="1006"/>
      <c r="AR780" s="1006"/>
      <c r="AS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c r="AA781" s="1006"/>
      <c r="AB781" s="1006"/>
      <c r="AC781" s="1006"/>
      <c r="AD781" s="1006"/>
      <c r="AE781" s="1006"/>
      <c r="AF781" s="1006"/>
      <c r="AG781" s="1006"/>
      <c r="AH781" s="1006"/>
      <c r="AI781" s="1006"/>
      <c r="AJ781" s="1006"/>
      <c r="AK781" s="1006"/>
      <c r="AL781" s="1006"/>
      <c r="AM781" s="1006"/>
      <c r="AN781" s="1006"/>
      <c r="AO781" s="1006"/>
      <c r="AP781" s="1006"/>
      <c r="AQ781" s="1006"/>
      <c r="AR781" s="1006"/>
      <c r="AS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c r="AA782" s="1006"/>
      <c r="AB782" s="1006"/>
      <c r="AC782" s="1006"/>
      <c r="AD782" s="1006"/>
      <c r="AE782" s="1006"/>
      <c r="AF782" s="1006"/>
      <c r="AG782" s="1006"/>
      <c r="AH782" s="1006"/>
      <c r="AI782" s="1006"/>
      <c r="AJ782" s="1006"/>
      <c r="AK782" s="1006"/>
      <c r="AL782" s="1006"/>
      <c r="AM782" s="1006"/>
      <c r="AN782" s="1006"/>
      <c r="AO782" s="1006"/>
      <c r="AP782" s="1006"/>
      <c r="AQ782" s="1006"/>
      <c r="AR782" s="1006"/>
      <c r="AS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c r="AA783" s="1006"/>
      <c r="AB783" s="1006"/>
      <c r="AC783" s="1006"/>
      <c r="AD783" s="1006"/>
      <c r="AE783" s="1006"/>
      <c r="AF783" s="1006"/>
      <c r="AG783" s="1006"/>
      <c r="AH783" s="1006"/>
      <c r="AI783" s="1006"/>
      <c r="AJ783" s="1006"/>
      <c r="AK783" s="1006"/>
      <c r="AL783" s="1006"/>
      <c r="AM783" s="1006"/>
      <c r="AN783" s="1006"/>
      <c r="AO783" s="1006"/>
      <c r="AP783" s="1006"/>
      <c r="AQ783" s="1006"/>
      <c r="AR783" s="1006"/>
      <c r="AS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c r="AA784" s="1006"/>
      <c r="AB784" s="1006"/>
      <c r="AC784" s="1006"/>
      <c r="AD784" s="1006"/>
      <c r="AE784" s="1006"/>
      <c r="AF784" s="1006"/>
      <c r="AG784" s="1006"/>
      <c r="AH784" s="1006"/>
      <c r="AI784" s="1006"/>
      <c r="AJ784" s="1006"/>
      <c r="AK784" s="1006"/>
      <c r="AL784" s="1006"/>
      <c r="AM784" s="1006"/>
      <c r="AN784" s="1006"/>
      <c r="AO784" s="1006"/>
      <c r="AP784" s="1006"/>
      <c r="AQ784" s="1006"/>
      <c r="AR784" s="1006"/>
      <c r="AS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c r="AA785" s="1006"/>
      <c r="AB785" s="1006"/>
      <c r="AC785" s="1006"/>
      <c r="AD785" s="1006"/>
      <c r="AE785" s="1006"/>
      <c r="AF785" s="1006"/>
      <c r="AG785" s="1006"/>
      <c r="AH785" s="1006"/>
      <c r="AI785" s="1006"/>
      <c r="AJ785" s="1006"/>
      <c r="AK785" s="1006"/>
      <c r="AL785" s="1006"/>
      <c r="AM785" s="1006"/>
      <c r="AN785" s="1006"/>
      <c r="AO785" s="1006"/>
      <c r="AP785" s="1006"/>
      <c r="AQ785" s="1006"/>
      <c r="AR785" s="1006"/>
      <c r="AS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c r="AA786" s="1006"/>
      <c r="AB786" s="1006"/>
      <c r="AC786" s="1006"/>
      <c r="AD786" s="1006"/>
      <c r="AE786" s="1006"/>
      <c r="AF786" s="1006"/>
      <c r="AG786" s="1006"/>
      <c r="AH786" s="1006"/>
      <c r="AI786" s="1006"/>
      <c r="AJ786" s="1006"/>
      <c r="AK786" s="1006"/>
      <c r="AL786" s="1006"/>
      <c r="AM786" s="1006"/>
      <c r="AN786" s="1006"/>
      <c r="AO786" s="1006"/>
      <c r="AP786" s="1006"/>
      <c r="AQ786" s="1006"/>
      <c r="AR786" s="1006"/>
      <c r="AS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c r="AA787" s="1006"/>
      <c r="AB787" s="1006"/>
      <c r="AC787" s="1006"/>
      <c r="AD787" s="1006"/>
      <c r="AE787" s="1006"/>
      <c r="AF787" s="1006"/>
      <c r="AG787" s="1006"/>
      <c r="AH787" s="1006"/>
      <c r="AI787" s="1006"/>
      <c r="AJ787" s="1006"/>
      <c r="AK787" s="1006"/>
      <c r="AL787" s="1006"/>
      <c r="AM787" s="1006"/>
      <c r="AN787" s="1006"/>
      <c r="AO787" s="1006"/>
      <c r="AP787" s="1006"/>
      <c r="AQ787" s="1006"/>
      <c r="AR787" s="1006"/>
      <c r="AS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c r="AA788" s="1006"/>
      <c r="AB788" s="1006"/>
      <c r="AC788" s="1006"/>
      <c r="AD788" s="1006"/>
      <c r="AE788" s="1006"/>
      <c r="AF788" s="1006"/>
      <c r="AG788" s="1006"/>
      <c r="AH788" s="1006"/>
      <c r="AI788" s="1006"/>
      <c r="AJ788" s="1006"/>
      <c r="AK788" s="1006"/>
      <c r="AL788" s="1006"/>
      <c r="AM788" s="1006"/>
      <c r="AN788" s="1006"/>
      <c r="AO788" s="1006"/>
      <c r="AP788" s="1006"/>
      <c r="AQ788" s="1006"/>
      <c r="AR788" s="1006"/>
      <c r="AS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c r="AA789" s="1006"/>
      <c r="AB789" s="1006"/>
      <c r="AC789" s="1006"/>
      <c r="AD789" s="1006"/>
      <c r="AE789" s="1006"/>
      <c r="AF789" s="1006"/>
      <c r="AG789" s="1006"/>
      <c r="AH789" s="1006"/>
      <c r="AI789" s="1006"/>
      <c r="AJ789" s="1006"/>
      <c r="AK789" s="1006"/>
      <c r="AL789" s="1006"/>
      <c r="AM789" s="1006"/>
      <c r="AN789" s="1006"/>
      <c r="AO789" s="1006"/>
      <c r="AP789" s="1006"/>
      <c r="AQ789" s="1006"/>
      <c r="AR789" s="1006"/>
      <c r="AS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c r="AA790" s="1006"/>
      <c r="AB790" s="1006"/>
      <c r="AC790" s="1006"/>
      <c r="AD790" s="1006"/>
      <c r="AE790" s="1006"/>
      <c r="AF790" s="1006"/>
      <c r="AG790" s="1006"/>
      <c r="AH790" s="1006"/>
      <c r="AI790" s="1006"/>
      <c r="AJ790" s="1006"/>
      <c r="AK790" s="1006"/>
      <c r="AL790" s="1006"/>
      <c r="AM790" s="1006"/>
      <c r="AN790" s="1006"/>
      <c r="AO790" s="1006"/>
      <c r="AP790" s="1006"/>
      <c r="AQ790" s="1006"/>
      <c r="AR790" s="1006"/>
      <c r="AS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c r="AA791" s="1006"/>
      <c r="AB791" s="1006"/>
      <c r="AC791" s="1006"/>
      <c r="AD791" s="1006"/>
      <c r="AE791" s="1006"/>
      <c r="AF791" s="1006"/>
      <c r="AG791" s="1006"/>
      <c r="AH791" s="1006"/>
      <c r="AI791" s="1006"/>
      <c r="AJ791" s="1006"/>
      <c r="AK791" s="1006"/>
      <c r="AL791" s="1006"/>
      <c r="AM791" s="1006"/>
      <c r="AN791" s="1006"/>
      <c r="AO791" s="1006"/>
      <c r="AP791" s="1006"/>
      <c r="AQ791" s="1006"/>
      <c r="AR791" s="1006"/>
      <c r="AS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c r="AA792" s="1006"/>
      <c r="AB792" s="1006"/>
      <c r="AC792" s="1006"/>
      <c r="AD792" s="1006"/>
      <c r="AE792" s="1006"/>
      <c r="AF792" s="1006"/>
      <c r="AG792" s="1006"/>
      <c r="AH792" s="1006"/>
      <c r="AI792" s="1006"/>
      <c r="AJ792" s="1006"/>
      <c r="AK792" s="1006"/>
      <c r="AL792" s="1006"/>
      <c r="AM792" s="1006"/>
      <c r="AN792" s="1006"/>
      <c r="AO792" s="1006"/>
      <c r="AP792" s="1006"/>
      <c r="AQ792" s="1006"/>
      <c r="AR792" s="1006"/>
      <c r="AS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c r="AA793" s="1006"/>
      <c r="AB793" s="1006"/>
      <c r="AC793" s="1006"/>
      <c r="AD793" s="1006"/>
      <c r="AE793" s="1006"/>
      <c r="AF793" s="1006"/>
      <c r="AG793" s="1006"/>
      <c r="AH793" s="1006"/>
      <c r="AI793" s="1006"/>
      <c r="AJ793" s="1006"/>
      <c r="AK793" s="1006"/>
      <c r="AL793" s="1006"/>
      <c r="AM793" s="1006"/>
      <c r="AN793" s="1006"/>
      <c r="AO793" s="1006"/>
      <c r="AP793" s="1006"/>
      <c r="AQ793" s="1006"/>
      <c r="AR793" s="1006"/>
      <c r="AS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c r="AA794" s="1006"/>
      <c r="AB794" s="1006"/>
      <c r="AC794" s="1006"/>
      <c r="AD794" s="1006"/>
      <c r="AE794" s="1006"/>
      <c r="AF794" s="1006"/>
      <c r="AG794" s="1006"/>
      <c r="AH794" s="1006"/>
      <c r="AI794" s="1006"/>
      <c r="AJ794" s="1006"/>
      <c r="AK794" s="1006"/>
      <c r="AL794" s="1006"/>
      <c r="AM794" s="1006"/>
      <c r="AN794" s="1006"/>
      <c r="AO794" s="1006"/>
      <c r="AP794" s="1006"/>
      <c r="AQ794" s="1006"/>
      <c r="AR794" s="1006"/>
      <c r="AS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c r="AA795" s="1006"/>
      <c r="AB795" s="1006"/>
      <c r="AC795" s="1006"/>
      <c r="AD795" s="1006"/>
      <c r="AE795" s="1006"/>
      <c r="AF795" s="1006"/>
      <c r="AG795" s="1006"/>
      <c r="AH795" s="1006"/>
      <c r="AI795" s="1006"/>
      <c r="AJ795" s="1006"/>
      <c r="AK795" s="1006"/>
      <c r="AL795" s="1006"/>
      <c r="AM795" s="1006"/>
      <c r="AN795" s="1006"/>
      <c r="AO795" s="1006"/>
      <c r="AP795" s="1006"/>
      <c r="AQ795" s="1006"/>
      <c r="AR795" s="1006"/>
      <c r="AS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c r="AA796" s="1006"/>
      <c r="AB796" s="1006"/>
      <c r="AC796" s="1006"/>
      <c r="AD796" s="1006"/>
      <c r="AE796" s="1006"/>
      <c r="AF796" s="1006"/>
      <c r="AG796" s="1006"/>
      <c r="AH796" s="1006"/>
      <c r="AI796" s="1006"/>
      <c r="AJ796" s="1006"/>
      <c r="AK796" s="1006"/>
      <c r="AL796" s="1006"/>
      <c r="AM796" s="1006"/>
      <c r="AN796" s="1006"/>
      <c r="AO796" s="1006"/>
      <c r="AP796" s="1006"/>
      <c r="AQ796" s="1006"/>
      <c r="AR796" s="1006"/>
      <c r="AS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c r="AA797" s="1006"/>
      <c r="AB797" s="1006"/>
      <c r="AC797" s="1006"/>
      <c r="AD797" s="1006"/>
      <c r="AE797" s="1006"/>
      <c r="AF797" s="1006"/>
      <c r="AG797" s="1006"/>
      <c r="AH797" s="1006"/>
      <c r="AI797" s="1006"/>
      <c r="AJ797" s="1006"/>
      <c r="AK797" s="1006"/>
      <c r="AL797" s="1006"/>
      <c r="AM797" s="1006"/>
      <c r="AN797" s="1006"/>
      <c r="AO797" s="1006"/>
      <c r="AP797" s="1006"/>
      <c r="AQ797" s="1006"/>
      <c r="AR797" s="1006"/>
      <c r="AS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c r="AA798" s="1006"/>
      <c r="AB798" s="1006"/>
      <c r="AC798" s="1006"/>
      <c r="AD798" s="1006"/>
      <c r="AE798" s="1006"/>
      <c r="AF798" s="1006"/>
      <c r="AG798" s="1006"/>
      <c r="AH798" s="1006"/>
      <c r="AI798" s="1006"/>
      <c r="AJ798" s="1006"/>
      <c r="AK798" s="1006"/>
      <c r="AL798" s="1006"/>
      <c r="AM798" s="1006"/>
      <c r="AN798" s="1006"/>
      <c r="AO798" s="1006"/>
      <c r="AP798" s="1006"/>
      <c r="AQ798" s="1006"/>
      <c r="AR798" s="1006"/>
      <c r="AS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c r="AA799" s="1006"/>
      <c r="AB799" s="1006"/>
      <c r="AC799" s="1006"/>
      <c r="AD799" s="1006"/>
      <c r="AE799" s="1006"/>
      <c r="AF799" s="1006"/>
      <c r="AG799" s="1006"/>
      <c r="AH799" s="1006"/>
      <c r="AI799" s="1006"/>
      <c r="AJ799" s="1006"/>
      <c r="AK799" s="1006"/>
      <c r="AL799" s="1006"/>
      <c r="AM799" s="1006"/>
      <c r="AN799" s="1006"/>
      <c r="AO799" s="1006"/>
      <c r="AP799" s="1006"/>
      <c r="AQ799" s="1006"/>
      <c r="AR799" s="1006"/>
      <c r="AS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c r="AA800" s="1006"/>
      <c r="AB800" s="1006"/>
      <c r="AC800" s="1006"/>
      <c r="AD800" s="1006"/>
      <c r="AE800" s="1006"/>
      <c r="AF800" s="1006"/>
      <c r="AG800" s="1006"/>
      <c r="AH800" s="1006"/>
      <c r="AI800" s="1006"/>
      <c r="AJ800" s="1006"/>
      <c r="AK800" s="1006"/>
      <c r="AL800" s="1006"/>
      <c r="AM800" s="1006"/>
      <c r="AN800" s="1006"/>
      <c r="AO800" s="1006"/>
      <c r="AP800" s="1006"/>
      <c r="AQ800" s="1006"/>
      <c r="AR800" s="1006"/>
      <c r="AS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c r="AA801" s="1006"/>
      <c r="AB801" s="1006"/>
      <c r="AC801" s="1006"/>
      <c r="AD801" s="1006"/>
      <c r="AE801" s="1006"/>
      <c r="AF801" s="1006"/>
      <c r="AG801" s="1006"/>
      <c r="AH801" s="1006"/>
      <c r="AI801" s="1006"/>
      <c r="AJ801" s="1006"/>
      <c r="AK801" s="1006"/>
      <c r="AL801" s="1006"/>
      <c r="AM801" s="1006"/>
      <c r="AN801" s="1006"/>
      <c r="AO801" s="1006"/>
      <c r="AP801" s="1006"/>
      <c r="AQ801" s="1006"/>
      <c r="AR801" s="1006"/>
      <c r="AS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c r="AA802" s="1006"/>
      <c r="AB802" s="1006"/>
      <c r="AC802" s="1006"/>
      <c r="AD802" s="1006"/>
      <c r="AE802" s="1006"/>
      <c r="AF802" s="1006"/>
      <c r="AG802" s="1006"/>
      <c r="AH802" s="1006"/>
      <c r="AI802" s="1006"/>
      <c r="AJ802" s="1006"/>
      <c r="AK802" s="1006"/>
      <c r="AL802" s="1006"/>
      <c r="AM802" s="1006"/>
      <c r="AN802" s="1006"/>
      <c r="AO802" s="1006"/>
      <c r="AP802" s="1006"/>
      <c r="AQ802" s="1006"/>
      <c r="AR802" s="1006"/>
      <c r="AS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c r="AA803" s="1006"/>
      <c r="AB803" s="1006"/>
      <c r="AC803" s="1006"/>
      <c r="AD803" s="1006"/>
      <c r="AE803" s="1006"/>
      <c r="AF803" s="1006"/>
      <c r="AG803" s="1006"/>
      <c r="AH803" s="1006"/>
      <c r="AI803" s="1006"/>
      <c r="AJ803" s="1006"/>
      <c r="AK803" s="1006"/>
      <c r="AL803" s="1006"/>
      <c r="AM803" s="1006"/>
      <c r="AN803" s="1006"/>
      <c r="AO803" s="1006"/>
      <c r="AP803" s="1006"/>
      <c r="AQ803" s="1006"/>
      <c r="AR803" s="1006"/>
      <c r="AS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c r="AA804" s="1006"/>
      <c r="AB804" s="1006"/>
      <c r="AC804" s="1006"/>
      <c r="AD804" s="1006"/>
      <c r="AE804" s="1006"/>
      <c r="AF804" s="1006"/>
      <c r="AG804" s="1006"/>
      <c r="AH804" s="1006"/>
      <c r="AI804" s="1006"/>
      <c r="AJ804" s="1006"/>
      <c r="AK804" s="1006"/>
      <c r="AL804" s="1006"/>
      <c r="AM804" s="1006"/>
      <c r="AN804" s="1006"/>
      <c r="AO804" s="1006"/>
      <c r="AP804" s="1006"/>
      <c r="AQ804" s="1006"/>
      <c r="AR804" s="1006"/>
      <c r="AS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c r="AA805" s="1006"/>
      <c r="AB805" s="1006"/>
      <c r="AC805" s="1006"/>
      <c r="AD805" s="1006"/>
      <c r="AE805" s="1006"/>
      <c r="AF805" s="1006"/>
      <c r="AG805" s="1006"/>
      <c r="AH805" s="1006"/>
      <c r="AI805" s="1006"/>
      <c r="AJ805" s="1006"/>
      <c r="AK805" s="1006"/>
      <c r="AL805" s="1006"/>
      <c r="AM805" s="1006"/>
      <c r="AN805" s="1006"/>
      <c r="AO805" s="1006"/>
      <c r="AP805" s="1006"/>
      <c r="AQ805" s="1006"/>
      <c r="AR805" s="1006"/>
      <c r="AS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c r="AA806" s="1006"/>
      <c r="AB806" s="1006"/>
      <c r="AC806" s="1006"/>
      <c r="AD806" s="1006"/>
      <c r="AE806" s="1006"/>
      <c r="AF806" s="1006"/>
      <c r="AG806" s="1006"/>
      <c r="AH806" s="1006"/>
      <c r="AI806" s="1006"/>
      <c r="AJ806" s="1006"/>
      <c r="AK806" s="1006"/>
      <c r="AL806" s="1006"/>
      <c r="AM806" s="1006"/>
      <c r="AN806" s="1006"/>
      <c r="AO806" s="1006"/>
      <c r="AP806" s="1006"/>
      <c r="AQ806" s="1006"/>
      <c r="AR806" s="1006"/>
      <c r="AS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c r="AA807" s="1006"/>
      <c r="AB807" s="1006"/>
      <c r="AC807" s="1006"/>
      <c r="AD807" s="1006"/>
      <c r="AE807" s="1006"/>
      <c r="AF807" s="1006"/>
      <c r="AG807" s="1006"/>
      <c r="AH807" s="1006"/>
      <c r="AI807" s="1006"/>
      <c r="AJ807" s="1006"/>
      <c r="AK807" s="1006"/>
      <c r="AL807" s="1006"/>
      <c r="AM807" s="1006"/>
      <c r="AN807" s="1006"/>
      <c r="AO807" s="1006"/>
      <c r="AP807" s="1006"/>
      <c r="AQ807" s="1006"/>
      <c r="AR807" s="1006"/>
      <c r="AS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c r="AA808" s="1006"/>
      <c r="AB808" s="1006"/>
      <c r="AC808" s="1006"/>
      <c r="AD808" s="1006"/>
      <c r="AE808" s="1006"/>
      <c r="AF808" s="1006"/>
      <c r="AG808" s="1006"/>
      <c r="AH808" s="1006"/>
      <c r="AI808" s="1006"/>
      <c r="AJ808" s="1006"/>
      <c r="AK808" s="1006"/>
      <c r="AL808" s="1006"/>
      <c r="AM808" s="1006"/>
      <c r="AN808" s="1006"/>
      <c r="AO808" s="1006"/>
      <c r="AP808" s="1006"/>
      <c r="AQ808" s="1006"/>
      <c r="AR808" s="1006"/>
      <c r="AS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c r="AA809" s="1006"/>
      <c r="AB809" s="1006"/>
      <c r="AC809" s="1006"/>
      <c r="AD809" s="1006"/>
      <c r="AE809" s="1006"/>
      <c r="AF809" s="1006"/>
      <c r="AG809" s="1006"/>
      <c r="AH809" s="1006"/>
      <c r="AI809" s="1006"/>
      <c r="AJ809" s="1006"/>
      <c r="AK809" s="1006"/>
      <c r="AL809" s="1006"/>
      <c r="AM809" s="1006"/>
      <c r="AN809" s="1006"/>
      <c r="AO809" s="1006"/>
      <c r="AP809" s="1006"/>
      <c r="AQ809" s="1006"/>
      <c r="AR809" s="1006"/>
      <c r="AS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c r="AA810" s="1006"/>
      <c r="AB810" s="1006"/>
      <c r="AC810" s="1006"/>
      <c r="AD810" s="1006"/>
      <c r="AE810" s="1006"/>
      <c r="AF810" s="1006"/>
      <c r="AG810" s="1006"/>
      <c r="AH810" s="1006"/>
      <c r="AI810" s="1006"/>
      <c r="AJ810" s="1006"/>
      <c r="AK810" s="1006"/>
      <c r="AL810" s="1006"/>
      <c r="AM810" s="1006"/>
      <c r="AN810" s="1006"/>
      <c r="AO810" s="1006"/>
      <c r="AP810" s="1006"/>
      <c r="AQ810" s="1006"/>
      <c r="AR810" s="1006"/>
      <c r="AS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c r="AA811" s="1006"/>
      <c r="AB811" s="1006"/>
      <c r="AC811" s="1006"/>
      <c r="AD811" s="1006"/>
      <c r="AE811" s="1006"/>
      <c r="AF811" s="1006"/>
      <c r="AG811" s="1006"/>
      <c r="AH811" s="1006"/>
      <c r="AI811" s="1006"/>
      <c r="AJ811" s="1006"/>
      <c r="AK811" s="1006"/>
      <c r="AL811" s="1006"/>
      <c r="AM811" s="1006"/>
      <c r="AN811" s="1006"/>
      <c r="AO811" s="1006"/>
      <c r="AP811" s="1006"/>
      <c r="AQ811" s="1006"/>
      <c r="AR811" s="1006"/>
      <c r="AS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c r="AA812" s="1006"/>
      <c r="AB812" s="1006"/>
      <c r="AC812" s="1006"/>
      <c r="AD812" s="1006"/>
      <c r="AE812" s="1006"/>
      <c r="AF812" s="1006"/>
      <c r="AG812" s="1006"/>
      <c r="AH812" s="1006"/>
      <c r="AI812" s="1006"/>
      <c r="AJ812" s="1006"/>
      <c r="AK812" s="1006"/>
      <c r="AL812" s="1006"/>
      <c r="AM812" s="1006"/>
      <c r="AN812" s="1006"/>
      <c r="AO812" s="1006"/>
      <c r="AP812" s="1006"/>
      <c r="AQ812" s="1006"/>
      <c r="AR812" s="1006"/>
      <c r="AS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c r="AA813" s="1006"/>
      <c r="AB813" s="1006"/>
      <c r="AC813" s="1006"/>
      <c r="AD813" s="1006"/>
      <c r="AE813" s="1006"/>
      <c r="AF813" s="1006"/>
      <c r="AG813" s="1006"/>
      <c r="AH813" s="1006"/>
      <c r="AI813" s="1006"/>
      <c r="AJ813" s="1006"/>
      <c r="AK813" s="1006"/>
      <c r="AL813" s="1006"/>
      <c r="AM813" s="1006"/>
      <c r="AN813" s="1006"/>
      <c r="AO813" s="1006"/>
      <c r="AP813" s="1006"/>
      <c r="AQ813" s="1006"/>
      <c r="AR813" s="1006"/>
      <c r="AS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c r="AA814" s="1006"/>
      <c r="AB814" s="1006"/>
      <c r="AC814" s="1006"/>
      <c r="AD814" s="1006"/>
      <c r="AE814" s="1006"/>
      <c r="AF814" s="1006"/>
      <c r="AG814" s="1006"/>
      <c r="AH814" s="1006"/>
      <c r="AI814" s="1006"/>
      <c r="AJ814" s="1006"/>
      <c r="AK814" s="1006"/>
      <c r="AL814" s="1006"/>
      <c r="AM814" s="1006"/>
      <c r="AN814" s="1006"/>
      <c r="AO814" s="1006"/>
      <c r="AP814" s="1006"/>
      <c r="AQ814" s="1006"/>
      <c r="AR814" s="1006"/>
      <c r="AS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c r="AA815" s="1006"/>
      <c r="AB815" s="1006"/>
      <c r="AC815" s="1006"/>
      <c r="AD815" s="1006"/>
      <c r="AE815" s="1006"/>
      <c r="AF815" s="1006"/>
      <c r="AG815" s="1006"/>
      <c r="AH815" s="1006"/>
      <c r="AI815" s="1006"/>
      <c r="AJ815" s="1006"/>
      <c r="AK815" s="1006"/>
      <c r="AL815" s="1006"/>
      <c r="AM815" s="1006"/>
      <c r="AN815" s="1006"/>
      <c r="AO815" s="1006"/>
      <c r="AP815" s="1006"/>
      <c r="AQ815" s="1006"/>
      <c r="AR815" s="1006"/>
      <c r="AS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c r="AA816" s="1006"/>
      <c r="AB816" s="1006"/>
      <c r="AC816" s="1006"/>
      <c r="AD816" s="1006"/>
      <c r="AE816" s="1006"/>
      <c r="AF816" s="1006"/>
      <c r="AG816" s="1006"/>
      <c r="AH816" s="1006"/>
      <c r="AI816" s="1006"/>
      <c r="AJ816" s="1006"/>
      <c r="AK816" s="1006"/>
      <c r="AL816" s="1006"/>
      <c r="AM816" s="1006"/>
      <c r="AN816" s="1006"/>
      <c r="AO816" s="1006"/>
      <c r="AP816" s="1006"/>
      <c r="AQ816" s="1006"/>
      <c r="AR816" s="1006"/>
      <c r="AS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c r="AA817" s="1006"/>
      <c r="AB817" s="1006"/>
      <c r="AC817" s="1006"/>
      <c r="AD817" s="1006"/>
      <c r="AE817" s="1006"/>
      <c r="AF817" s="1006"/>
      <c r="AG817" s="1006"/>
      <c r="AH817" s="1006"/>
      <c r="AI817" s="1006"/>
      <c r="AJ817" s="1006"/>
      <c r="AK817" s="1006"/>
      <c r="AL817" s="1006"/>
      <c r="AM817" s="1006"/>
      <c r="AN817" s="1006"/>
      <c r="AO817" s="1006"/>
      <c r="AP817" s="1006"/>
      <c r="AQ817" s="1006"/>
      <c r="AR817" s="1006"/>
      <c r="AS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c r="AA818" s="1006"/>
      <c r="AB818" s="1006"/>
      <c r="AC818" s="1006"/>
      <c r="AD818" s="1006"/>
      <c r="AE818" s="1006"/>
      <c r="AF818" s="1006"/>
      <c r="AG818" s="1006"/>
      <c r="AH818" s="1006"/>
      <c r="AI818" s="1006"/>
      <c r="AJ818" s="1006"/>
      <c r="AK818" s="1006"/>
      <c r="AL818" s="1006"/>
      <c r="AM818" s="1006"/>
      <c r="AN818" s="1006"/>
      <c r="AO818" s="1006"/>
      <c r="AP818" s="1006"/>
      <c r="AQ818" s="1006"/>
      <c r="AR818" s="1006"/>
      <c r="AS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c r="AA819" s="1006"/>
      <c r="AB819" s="1006"/>
      <c r="AC819" s="1006"/>
      <c r="AD819" s="1006"/>
      <c r="AE819" s="1006"/>
      <c r="AF819" s="1006"/>
      <c r="AG819" s="1006"/>
      <c r="AH819" s="1006"/>
      <c r="AI819" s="1006"/>
      <c r="AJ819" s="1006"/>
      <c r="AK819" s="1006"/>
      <c r="AL819" s="1006"/>
      <c r="AM819" s="1006"/>
      <c r="AN819" s="1006"/>
      <c r="AO819" s="1006"/>
      <c r="AP819" s="1006"/>
      <c r="AQ819" s="1006"/>
      <c r="AR819" s="1006"/>
      <c r="AS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c r="AA820" s="1006"/>
      <c r="AB820" s="1006"/>
      <c r="AC820" s="1006"/>
      <c r="AD820" s="1006"/>
      <c r="AE820" s="1006"/>
      <c r="AF820" s="1006"/>
      <c r="AG820" s="1006"/>
      <c r="AH820" s="1006"/>
      <c r="AI820" s="1006"/>
      <c r="AJ820" s="1006"/>
      <c r="AK820" s="1006"/>
      <c r="AL820" s="1006"/>
      <c r="AM820" s="1006"/>
      <c r="AN820" s="1006"/>
      <c r="AO820" s="1006"/>
      <c r="AP820" s="1006"/>
      <c r="AQ820" s="1006"/>
      <c r="AR820" s="1006"/>
      <c r="AS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c r="AA821" s="1006"/>
      <c r="AB821" s="1006"/>
      <c r="AC821" s="1006"/>
      <c r="AD821" s="1006"/>
      <c r="AE821" s="1006"/>
      <c r="AF821" s="1006"/>
      <c r="AG821" s="1006"/>
      <c r="AH821" s="1006"/>
      <c r="AI821" s="1006"/>
      <c r="AJ821" s="1006"/>
      <c r="AK821" s="1006"/>
      <c r="AL821" s="1006"/>
      <c r="AM821" s="1006"/>
      <c r="AN821" s="1006"/>
      <c r="AO821" s="1006"/>
      <c r="AP821" s="1006"/>
      <c r="AQ821" s="1006"/>
      <c r="AR821" s="1006"/>
      <c r="AS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c r="AA822" s="1006"/>
      <c r="AB822" s="1006"/>
      <c r="AC822" s="1006"/>
      <c r="AD822" s="1006"/>
      <c r="AE822" s="1006"/>
      <c r="AF822" s="1006"/>
      <c r="AG822" s="1006"/>
      <c r="AH822" s="1006"/>
      <c r="AI822" s="1006"/>
      <c r="AJ822" s="1006"/>
      <c r="AK822" s="1006"/>
      <c r="AL822" s="1006"/>
      <c r="AM822" s="1006"/>
      <c r="AN822" s="1006"/>
      <c r="AO822" s="1006"/>
      <c r="AP822" s="1006"/>
      <c r="AQ822" s="1006"/>
      <c r="AR822" s="1006"/>
      <c r="AS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c r="AA823" s="1006"/>
      <c r="AB823" s="1006"/>
      <c r="AC823" s="1006"/>
      <c r="AD823" s="1006"/>
      <c r="AE823" s="1006"/>
      <c r="AF823" s="1006"/>
      <c r="AG823" s="1006"/>
      <c r="AH823" s="1006"/>
      <c r="AI823" s="1006"/>
      <c r="AJ823" s="1006"/>
      <c r="AK823" s="1006"/>
      <c r="AL823" s="1006"/>
      <c r="AM823" s="1006"/>
      <c r="AN823" s="1006"/>
      <c r="AO823" s="1006"/>
      <c r="AP823" s="1006"/>
      <c r="AQ823" s="1006"/>
      <c r="AR823" s="1006"/>
      <c r="AS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c r="AA824" s="1006"/>
      <c r="AB824" s="1006"/>
      <c r="AC824" s="1006"/>
      <c r="AD824" s="1006"/>
      <c r="AE824" s="1006"/>
      <c r="AF824" s="1006"/>
      <c r="AG824" s="1006"/>
      <c r="AH824" s="1006"/>
      <c r="AI824" s="1006"/>
      <c r="AJ824" s="1006"/>
      <c r="AK824" s="1006"/>
      <c r="AL824" s="1006"/>
      <c r="AM824" s="1006"/>
      <c r="AN824" s="1006"/>
      <c r="AO824" s="1006"/>
      <c r="AP824" s="1006"/>
      <c r="AQ824" s="1006"/>
      <c r="AR824" s="1006"/>
      <c r="AS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c r="AA825" s="1006"/>
      <c r="AB825" s="1006"/>
      <c r="AC825" s="1006"/>
      <c r="AD825" s="1006"/>
      <c r="AE825" s="1006"/>
      <c r="AF825" s="1006"/>
      <c r="AG825" s="1006"/>
      <c r="AH825" s="1006"/>
      <c r="AI825" s="1006"/>
      <c r="AJ825" s="1006"/>
      <c r="AK825" s="1006"/>
      <c r="AL825" s="1006"/>
      <c r="AM825" s="1006"/>
      <c r="AN825" s="1006"/>
      <c r="AO825" s="1006"/>
      <c r="AP825" s="1006"/>
      <c r="AQ825" s="1006"/>
      <c r="AR825" s="1006"/>
      <c r="AS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c r="AA826" s="1006"/>
      <c r="AB826" s="1006"/>
      <c r="AC826" s="1006"/>
      <c r="AD826" s="1006"/>
      <c r="AE826" s="1006"/>
      <c r="AF826" s="1006"/>
      <c r="AG826" s="1006"/>
      <c r="AH826" s="1006"/>
      <c r="AI826" s="1006"/>
      <c r="AJ826" s="1006"/>
      <c r="AK826" s="1006"/>
      <c r="AL826" s="1006"/>
      <c r="AM826" s="1006"/>
      <c r="AN826" s="1006"/>
      <c r="AO826" s="1006"/>
      <c r="AP826" s="1006"/>
      <c r="AQ826" s="1006"/>
      <c r="AR826" s="1006"/>
      <c r="AS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c r="AA827" s="1006"/>
      <c r="AB827" s="1006"/>
      <c r="AC827" s="1006"/>
      <c r="AD827" s="1006"/>
      <c r="AE827" s="1006"/>
      <c r="AF827" s="1006"/>
      <c r="AG827" s="1006"/>
      <c r="AH827" s="1006"/>
      <c r="AI827" s="1006"/>
      <c r="AJ827" s="1006"/>
      <c r="AK827" s="1006"/>
      <c r="AL827" s="1006"/>
      <c r="AM827" s="1006"/>
      <c r="AN827" s="1006"/>
      <c r="AO827" s="1006"/>
      <c r="AP827" s="1006"/>
      <c r="AQ827" s="1006"/>
      <c r="AR827" s="1006"/>
      <c r="AS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c r="AA828" s="1006"/>
      <c r="AB828" s="1006"/>
      <c r="AC828" s="1006"/>
      <c r="AD828" s="1006"/>
      <c r="AE828" s="1006"/>
      <c r="AF828" s="1006"/>
      <c r="AG828" s="1006"/>
      <c r="AH828" s="1006"/>
      <c r="AI828" s="1006"/>
      <c r="AJ828" s="1006"/>
      <c r="AK828" s="1006"/>
      <c r="AL828" s="1006"/>
      <c r="AM828" s="1006"/>
      <c r="AN828" s="1006"/>
      <c r="AO828" s="1006"/>
      <c r="AP828" s="1006"/>
      <c r="AQ828" s="1006"/>
      <c r="AR828" s="1006"/>
      <c r="AS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c r="AA829" s="1006"/>
      <c r="AB829" s="1006"/>
      <c r="AC829" s="1006"/>
      <c r="AD829" s="1006"/>
      <c r="AE829" s="1006"/>
      <c r="AF829" s="1006"/>
      <c r="AG829" s="1006"/>
      <c r="AH829" s="1006"/>
      <c r="AI829" s="1006"/>
      <c r="AJ829" s="1006"/>
      <c r="AK829" s="1006"/>
      <c r="AL829" s="1006"/>
      <c r="AM829" s="1006"/>
      <c r="AN829" s="1006"/>
      <c r="AO829" s="1006"/>
      <c r="AP829" s="1006"/>
      <c r="AQ829" s="1006"/>
      <c r="AR829" s="1006"/>
      <c r="AS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c r="AA830" s="1006"/>
      <c r="AB830" s="1006"/>
      <c r="AC830" s="1006"/>
      <c r="AD830" s="1006"/>
      <c r="AE830" s="1006"/>
      <c r="AF830" s="1006"/>
      <c r="AG830" s="1006"/>
      <c r="AH830" s="1006"/>
      <c r="AI830" s="1006"/>
      <c r="AJ830" s="1006"/>
      <c r="AK830" s="1006"/>
      <c r="AL830" s="1006"/>
      <c r="AM830" s="1006"/>
      <c r="AN830" s="1006"/>
      <c r="AO830" s="1006"/>
      <c r="AP830" s="1006"/>
      <c r="AQ830" s="1006"/>
      <c r="AR830" s="1006"/>
      <c r="AS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c r="AA831" s="1006"/>
      <c r="AB831" s="1006"/>
      <c r="AC831" s="1006"/>
      <c r="AD831" s="1006"/>
      <c r="AE831" s="1006"/>
      <c r="AF831" s="1006"/>
      <c r="AG831" s="1006"/>
      <c r="AH831" s="1006"/>
      <c r="AI831" s="1006"/>
      <c r="AJ831" s="1006"/>
      <c r="AK831" s="1006"/>
      <c r="AL831" s="1006"/>
      <c r="AM831" s="1006"/>
      <c r="AN831" s="1006"/>
      <c r="AO831" s="1006"/>
      <c r="AP831" s="1006"/>
      <c r="AQ831" s="1006"/>
      <c r="AR831" s="1006"/>
      <c r="AS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c r="AA832" s="1006"/>
      <c r="AB832" s="1006"/>
      <c r="AC832" s="1006"/>
      <c r="AD832" s="1006"/>
      <c r="AE832" s="1006"/>
      <c r="AF832" s="1006"/>
      <c r="AG832" s="1006"/>
      <c r="AH832" s="1006"/>
      <c r="AI832" s="1006"/>
      <c r="AJ832" s="1006"/>
      <c r="AK832" s="1006"/>
      <c r="AL832" s="1006"/>
      <c r="AM832" s="1006"/>
      <c r="AN832" s="1006"/>
      <c r="AO832" s="1006"/>
      <c r="AP832" s="1006"/>
      <c r="AQ832" s="1006"/>
      <c r="AR832" s="1006"/>
      <c r="AS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c r="AA833" s="1006"/>
      <c r="AB833" s="1006"/>
      <c r="AC833" s="1006"/>
      <c r="AD833" s="1006"/>
      <c r="AE833" s="1006"/>
      <c r="AF833" s="1006"/>
      <c r="AG833" s="1006"/>
      <c r="AH833" s="1006"/>
      <c r="AI833" s="1006"/>
      <c r="AJ833" s="1006"/>
      <c r="AK833" s="1006"/>
      <c r="AL833" s="1006"/>
      <c r="AM833" s="1006"/>
      <c r="AN833" s="1006"/>
      <c r="AO833" s="1006"/>
      <c r="AP833" s="1006"/>
      <c r="AQ833" s="1006"/>
      <c r="AR833" s="1006"/>
      <c r="AS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c r="AA834" s="1006"/>
      <c r="AB834" s="1006"/>
      <c r="AC834" s="1006"/>
      <c r="AD834" s="1006"/>
      <c r="AE834" s="1006"/>
      <c r="AF834" s="1006"/>
      <c r="AG834" s="1006"/>
      <c r="AH834" s="1006"/>
      <c r="AI834" s="1006"/>
      <c r="AJ834" s="1006"/>
      <c r="AK834" s="1006"/>
      <c r="AL834" s="1006"/>
      <c r="AM834" s="1006"/>
      <c r="AN834" s="1006"/>
      <c r="AO834" s="1006"/>
      <c r="AP834" s="1006"/>
      <c r="AQ834" s="1006"/>
      <c r="AR834" s="1006"/>
      <c r="AS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c r="AA835" s="1006"/>
      <c r="AB835" s="1006"/>
      <c r="AC835" s="1006"/>
      <c r="AD835" s="1006"/>
      <c r="AE835" s="1006"/>
      <c r="AF835" s="1006"/>
      <c r="AG835" s="1006"/>
      <c r="AH835" s="1006"/>
      <c r="AI835" s="1006"/>
      <c r="AJ835" s="1006"/>
      <c r="AK835" s="1006"/>
      <c r="AL835" s="1006"/>
      <c r="AM835" s="1006"/>
      <c r="AN835" s="1006"/>
      <c r="AO835" s="1006"/>
      <c r="AP835" s="1006"/>
      <c r="AQ835" s="1006"/>
      <c r="AR835" s="1006"/>
      <c r="AS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c r="AA836" s="1006"/>
      <c r="AB836" s="1006"/>
      <c r="AC836" s="1006"/>
      <c r="AD836" s="1006"/>
      <c r="AE836" s="1006"/>
      <c r="AF836" s="1006"/>
      <c r="AG836" s="1006"/>
      <c r="AH836" s="1006"/>
      <c r="AI836" s="1006"/>
      <c r="AJ836" s="1006"/>
      <c r="AK836" s="1006"/>
      <c r="AL836" s="1006"/>
      <c r="AM836" s="1006"/>
      <c r="AN836" s="1006"/>
      <c r="AO836" s="1006"/>
      <c r="AP836" s="1006"/>
      <c r="AQ836" s="1006"/>
      <c r="AR836" s="1006"/>
      <c r="AS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c r="AA837" s="1006"/>
      <c r="AB837" s="1006"/>
      <c r="AC837" s="1006"/>
      <c r="AD837" s="1006"/>
      <c r="AE837" s="1006"/>
      <c r="AF837" s="1006"/>
      <c r="AG837" s="1006"/>
      <c r="AH837" s="1006"/>
      <c r="AI837" s="1006"/>
      <c r="AJ837" s="1006"/>
      <c r="AK837" s="1006"/>
      <c r="AL837" s="1006"/>
      <c r="AM837" s="1006"/>
      <c r="AN837" s="1006"/>
      <c r="AO837" s="1006"/>
      <c r="AP837" s="1006"/>
      <c r="AQ837" s="1006"/>
      <c r="AR837" s="1006"/>
      <c r="AS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c r="AA838" s="1006"/>
      <c r="AB838" s="1006"/>
      <c r="AC838" s="1006"/>
      <c r="AD838" s="1006"/>
      <c r="AE838" s="1006"/>
      <c r="AF838" s="1006"/>
      <c r="AG838" s="1006"/>
      <c r="AH838" s="1006"/>
      <c r="AI838" s="1006"/>
      <c r="AJ838" s="1006"/>
      <c r="AK838" s="1006"/>
      <c r="AL838" s="1006"/>
      <c r="AM838" s="1006"/>
      <c r="AN838" s="1006"/>
      <c r="AO838" s="1006"/>
      <c r="AP838" s="1006"/>
      <c r="AQ838" s="1006"/>
      <c r="AR838" s="1006"/>
      <c r="AS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c r="AA839" s="1006"/>
      <c r="AB839" s="1006"/>
      <c r="AC839" s="1006"/>
      <c r="AD839" s="1006"/>
      <c r="AE839" s="1006"/>
      <c r="AF839" s="1006"/>
      <c r="AG839" s="1006"/>
      <c r="AH839" s="1006"/>
      <c r="AI839" s="1006"/>
      <c r="AJ839" s="1006"/>
      <c r="AK839" s="1006"/>
      <c r="AL839" s="1006"/>
      <c r="AM839" s="1006"/>
      <c r="AN839" s="1006"/>
      <c r="AO839" s="1006"/>
      <c r="AP839" s="1006"/>
      <c r="AQ839" s="1006"/>
      <c r="AR839" s="1006"/>
      <c r="AS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c r="AA840" s="1006"/>
      <c r="AB840" s="1006"/>
      <c r="AC840" s="1006"/>
      <c r="AD840" s="1006"/>
      <c r="AE840" s="1006"/>
      <c r="AF840" s="1006"/>
      <c r="AG840" s="1006"/>
      <c r="AH840" s="1006"/>
      <c r="AI840" s="1006"/>
      <c r="AJ840" s="1006"/>
      <c r="AK840" s="1006"/>
      <c r="AL840" s="1006"/>
      <c r="AM840" s="1006"/>
      <c r="AN840" s="1006"/>
      <c r="AO840" s="1006"/>
      <c r="AP840" s="1006"/>
      <c r="AQ840" s="1006"/>
      <c r="AR840" s="1006"/>
      <c r="AS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c r="AA841" s="1006"/>
      <c r="AB841" s="1006"/>
      <c r="AC841" s="1006"/>
      <c r="AD841" s="1006"/>
      <c r="AE841" s="1006"/>
      <c r="AF841" s="1006"/>
      <c r="AG841" s="1006"/>
      <c r="AH841" s="1006"/>
      <c r="AI841" s="1006"/>
      <c r="AJ841" s="1006"/>
      <c r="AK841" s="1006"/>
      <c r="AL841" s="1006"/>
      <c r="AM841" s="1006"/>
      <c r="AN841" s="1006"/>
      <c r="AO841" s="1006"/>
      <c r="AP841" s="1006"/>
      <c r="AQ841" s="1006"/>
      <c r="AR841" s="1006"/>
      <c r="AS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c r="AA842" s="1006"/>
      <c r="AB842" s="1006"/>
      <c r="AC842" s="1006"/>
      <c r="AD842" s="1006"/>
      <c r="AE842" s="1006"/>
      <c r="AF842" s="1006"/>
      <c r="AG842" s="1006"/>
      <c r="AH842" s="1006"/>
      <c r="AI842" s="1006"/>
      <c r="AJ842" s="1006"/>
      <c r="AK842" s="1006"/>
      <c r="AL842" s="1006"/>
      <c r="AM842" s="1006"/>
      <c r="AN842" s="1006"/>
      <c r="AO842" s="1006"/>
      <c r="AP842" s="1006"/>
      <c r="AQ842" s="1006"/>
      <c r="AR842" s="1006"/>
      <c r="AS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c r="AA843" s="1006"/>
      <c r="AB843" s="1006"/>
      <c r="AC843" s="1006"/>
      <c r="AD843" s="1006"/>
      <c r="AE843" s="1006"/>
      <c r="AF843" s="1006"/>
      <c r="AG843" s="1006"/>
      <c r="AH843" s="1006"/>
      <c r="AI843" s="1006"/>
      <c r="AJ843" s="1006"/>
      <c r="AK843" s="1006"/>
      <c r="AL843" s="1006"/>
      <c r="AM843" s="1006"/>
      <c r="AN843" s="1006"/>
      <c r="AO843" s="1006"/>
      <c r="AP843" s="1006"/>
      <c r="AQ843" s="1006"/>
      <c r="AR843" s="1006"/>
      <c r="AS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c r="AA844" s="1006"/>
      <c r="AB844" s="1006"/>
      <c r="AC844" s="1006"/>
      <c r="AD844" s="1006"/>
      <c r="AE844" s="1006"/>
      <c r="AF844" s="1006"/>
      <c r="AG844" s="1006"/>
      <c r="AH844" s="1006"/>
      <c r="AI844" s="1006"/>
      <c r="AJ844" s="1006"/>
      <c r="AK844" s="1006"/>
      <c r="AL844" s="1006"/>
      <c r="AM844" s="1006"/>
      <c r="AN844" s="1006"/>
      <c r="AO844" s="1006"/>
      <c r="AP844" s="1006"/>
      <c r="AQ844" s="1006"/>
      <c r="AR844" s="1006"/>
      <c r="AS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c r="AA845" s="1006"/>
      <c r="AB845" s="1006"/>
      <c r="AC845" s="1006"/>
      <c r="AD845" s="1006"/>
      <c r="AE845" s="1006"/>
      <c r="AF845" s="1006"/>
      <c r="AG845" s="1006"/>
      <c r="AH845" s="1006"/>
      <c r="AI845" s="1006"/>
      <c r="AJ845" s="1006"/>
      <c r="AK845" s="1006"/>
      <c r="AL845" s="1006"/>
      <c r="AM845" s="1006"/>
      <c r="AN845" s="1006"/>
      <c r="AO845" s="1006"/>
      <c r="AP845" s="1006"/>
      <c r="AQ845" s="1006"/>
      <c r="AR845" s="1006"/>
      <c r="AS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c r="AA846" s="1006"/>
      <c r="AB846" s="1006"/>
      <c r="AC846" s="1006"/>
      <c r="AD846" s="1006"/>
      <c r="AE846" s="1006"/>
      <c r="AF846" s="1006"/>
      <c r="AG846" s="1006"/>
      <c r="AH846" s="1006"/>
      <c r="AI846" s="1006"/>
      <c r="AJ846" s="1006"/>
      <c r="AK846" s="1006"/>
      <c r="AL846" s="1006"/>
      <c r="AM846" s="1006"/>
      <c r="AN846" s="1006"/>
      <c r="AO846" s="1006"/>
      <c r="AP846" s="1006"/>
      <c r="AQ846" s="1006"/>
      <c r="AR846" s="1006"/>
      <c r="AS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c r="AA847" s="1006"/>
      <c r="AB847" s="1006"/>
      <c r="AC847" s="1006"/>
      <c r="AD847" s="1006"/>
      <c r="AE847" s="1006"/>
      <c r="AF847" s="1006"/>
      <c r="AG847" s="1006"/>
      <c r="AH847" s="1006"/>
      <c r="AI847" s="1006"/>
      <c r="AJ847" s="1006"/>
      <c r="AK847" s="1006"/>
      <c r="AL847" s="1006"/>
      <c r="AM847" s="1006"/>
      <c r="AN847" s="1006"/>
      <c r="AO847" s="1006"/>
      <c r="AP847" s="1006"/>
      <c r="AQ847" s="1006"/>
      <c r="AR847" s="1006"/>
      <c r="AS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c r="AA848" s="1006"/>
      <c r="AB848" s="1006"/>
      <c r="AC848" s="1006"/>
      <c r="AD848" s="1006"/>
      <c r="AE848" s="1006"/>
      <c r="AF848" s="1006"/>
      <c r="AG848" s="1006"/>
      <c r="AH848" s="1006"/>
      <c r="AI848" s="1006"/>
      <c r="AJ848" s="1006"/>
      <c r="AK848" s="1006"/>
      <c r="AL848" s="1006"/>
      <c r="AM848" s="1006"/>
      <c r="AN848" s="1006"/>
      <c r="AO848" s="1006"/>
      <c r="AP848" s="1006"/>
      <c r="AQ848" s="1006"/>
      <c r="AR848" s="1006"/>
      <c r="AS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c r="AA849" s="1006"/>
      <c r="AB849" s="1006"/>
      <c r="AC849" s="1006"/>
      <c r="AD849" s="1006"/>
      <c r="AE849" s="1006"/>
      <c r="AF849" s="1006"/>
      <c r="AG849" s="1006"/>
      <c r="AH849" s="1006"/>
      <c r="AI849" s="1006"/>
      <c r="AJ849" s="1006"/>
      <c r="AK849" s="1006"/>
      <c r="AL849" s="1006"/>
      <c r="AM849" s="1006"/>
      <c r="AN849" s="1006"/>
      <c r="AO849" s="1006"/>
      <c r="AP849" s="1006"/>
      <c r="AQ849" s="1006"/>
      <c r="AR849" s="1006"/>
      <c r="AS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c r="AA850" s="1006"/>
      <c r="AB850" s="1006"/>
      <c r="AC850" s="1006"/>
      <c r="AD850" s="1006"/>
      <c r="AE850" s="1006"/>
      <c r="AF850" s="1006"/>
      <c r="AG850" s="1006"/>
      <c r="AH850" s="1006"/>
      <c r="AI850" s="1006"/>
      <c r="AJ850" s="1006"/>
      <c r="AK850" s="1006"/>
      <c r="AL850" s="1006"/>
      <c r="AM850" s="1006"/>
      <c r="AN850" s="1006"/>
      <c r="AO850" s="1006"/>
      <c r="AP850" s="1006"/>
      <c r="AQ850" s="1006"/>
      <c r="AR850" s="1006"/>
      <c r="AS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c r="AA851" s="1006"/>
      <c r="AB851" s="1006"/>
      <c r="AC851" s="1006"/>
      <c r="AD851" s="1006"/>
      <c r="AE851" s="1006"/>
      <c r="AF851" s="1006"/>
      <c r="AG851" s="1006"/>
      <c r="AH851" s="1006"/>
      <c r="AI851" s="1006"/>
      <c r="AJ851" s="1006"/>
      <c r="AK851" s="1006"/>
      <c r="AL851" s="1006"/>
      <c r="AM851" s="1006"/>
      <c r="AN851" s="1006"/>
      <c r="AO851" s="1006"/>
      <c r="AP851" s="1006"/>
      <c r="AQ851" s="1006"/>
      <c r="AR851" s="1006"/>
      <c r="AS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c r="AA852" s="1006"/>
      <c r="AB852" s="1006"/>
      <c r="AC852" s="1006"/>
      <c r="AD852" s="1006"/>
      <c r="AE852" s="1006"/>
      <c r="AF852" s="1006"/>
      <c r="AG852" s="1006"/>
      <c r="AH852" s="1006"/>
      <c r="AI852" s="1006"/>
      <c r="AJ852" s="1006"/>
      <c r="AK852" s="1006"/>
      <c r="AL852" s="1006"/>
      <c r="AM852" s="1006"/>
      <c r="AN852" s="1006"/>
      <c r="AO852" s="1006"/>
      <c r="AP852" s="1006"/>
      <c r="AQ852" s="1006"/>
      <c r="AR852" s="1006"/>
      <c r="AS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c r="AA853" s="1006"/>
      <c r="AB853" s="1006"/>
      <c r="AC853" s="1006"/>
      <c r="AD853" s="1006"/>
      <c r="AE853" s="1006"/>
      <c r="AF853" s="1006"/>
      <c r="AG853" s="1006"/>
      <c r="AH853" s="1006"/>
      <c r="AI853" s="1006"/>
      <c r="AJ853" s="1006"/>
      <c r="AK853" s="1006"/>
      <c r="AL853" s="1006"/>
      <c r="AM853" s="1006"/>
      <c r="AN853" s="1006"/>
      <c r="AO853" s="1006"/>
      <c r="AP853" s="1006"/>
      <c r="AQ853" s="1006"/>
      <c r="AR853" s="1006"/>
      <c r="AS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c r="AA854" s="1006"/>
      <c r="AB854" s="1006"/>
      <c r="AC854" s="1006"/>
      <c r="AD854" s="1006"/>
      <c r="AE854" s="1006"/>
      <c r="AF854" s="1006"/>
      <c r="AG854" s="1006"/>
      <c r="AH854" s="1006"/>
      <c r="AI854" s="1006"/>
      <c r="AJ854" s="1006"/>
      <c r="AK854" s="1006"/>
      <c r="AL854" s="1006"/>
      <c r="AM854" s="1006"/>
      <c r="AN854" s="1006"/>
      <c r="AO854" s="1006"/>
      <c r="AP854" s="1006"/>
      <c r="AQ854" s="1006"/>
      <c r="AR854" s="1006"/>
      <c r="AS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c r="AA855" s="1006"/>
      <c r="AB855" s="1006"/>
      <c r="AC855" s="1006"/>
      <c r="AD855" s="1006"/>
      <c r="AE855" s="1006"/>
      <c r="AF855" s="1006"/>
      <c r="AG855" s="1006"/>
      <c r="AH855" s="1006"/>
      <c r="AI855" s="1006"/>
      <c r="AJ855" s="1006"/>
      <c r="AK855" s="1006"/>
      <c r="AL855" s="1006"/>
      <c r="AM855" s="1006"/>
      <c r="AN855" s="1006"/>
      <c r="AO855" s="1006"/>
      <c r="AP855" s="1006"/>
      <c r="AQ855" s="1006"/>
      <c r="AR855" s="1006"/>
      <c r="AS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c r="AA856" s="1006"/>
      <c r="AB856" s="1006"/>
      <c r="AC856" s="1006"/>
      <c r="AD856" s="1006"/>
      <c r="AE856" s="1006"/>
      <c r="AF856" s="1006"/>
      <c r="AG856" s="1006"/>
      <c r="AH856" s="1006"/>
      <c r="AI856" s="1006"/>
      <c r="AJ856" s="1006"/>
      <c r="AK856" s="1006"/>
      <c r="AL856" s="1006"/>
      <c r="AM856" s="1006"/>
      <c r="AN856" s="1006"/>
      <c r="AO856" s="1006"/>
      <c r="AP856" s="1006"/>
      <c r="AQ856" s="1006"/>
      <c r="AR856" s="1006"/>
      <c r="AS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c r="AA857" s="1006"/>
      <c r="AB857" s="1006"/>
      <c r="AC857" s="1006"/>
      <c r="AD857" s="1006"/>
      <c r="AE857" s="1006"/>
      <c r="AF857" s="1006"/>
      <c r="AG857" s="1006"/>
      <c r="AH857" s="1006"/>
      <c r="AI857" s="1006"/>
      <c r="AJ857" s="1006"/>
      <c r="AK857" s="1006"/>
      <c r="AL857" s="1006"/>
      <c r="AM857" s="1006"/>
      <c r="AN857" s="1006"/>
      <c r="AO857" s="1006"/>
      <c r="AP857" s="1006"/>
      <c r="AQ857" s="1006"/>
      <c r="AR857" s="1006"/>
      <c r="AS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c r="AA858" s="1006"/>
      <c r="AB858" s="1006"/>
      <c r="AC858" s="1006"/>
      <c r="AD858" s="1006"/>
      <c r="AE858" s="1006"/>
      <c r="AF858" s="1006"/>
      <c r="AG858" s="1006"/>
      <c r="AH858" s="1006"/>
      <c r="AI858" s="1006"/>
      <c r="AJ858" s="1006"/>
      <c r="AK858" s="1006"/>
      <c r="AL858" s="1006"/>
      <c r="AM858" s="1006"/>
      <c r="AN858" s="1006"/>
      <c r="AO858" s="1006"/>
      <c r="AP858" s="1006"/>
      <c r="AQ858" s="1006"/>
      <c r="AR858" s="1006"/>
      <c r="AS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c r="AA859" s="1006"/>
      <c r="AB859" s="1006"/>
      <c r="AC859" s="1006"/>
      <c r="AD859" s="1006"/>
      <c r="AE859" s="1006"/>
      <c r="AF859" s="1006"/>
      <c r="AG859" s="1006"/>
      <c r="AH859" s="1006"/>
      <c r="AI859" s="1006"/>
      <c r="AJ859" s="1006"/>
      <c r="AK859" s="1006"/>
      <c r="AL859" s="1006"/>
      <c r="AM859" s="1006"/>
      <c r="AN859" s="1006"/>
      <c r="AO859" s="1006"/>
      <c r="AP859" s="1006"/>
      <c r="AQ859" s="1006"/>
      <c r="AR859" s="1006"/>
      <c r="AS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c r="AA860" s="1006"/>
      <c r="AB860" s="1006"/>
      <c r="AC860" s="1006"/>
      <c r="AD860" s="1006"/>
      <c r="AE860" s="1006"/>
      <c r="AF860" s="1006"/>
      <c r="AG860" s="1006"/>
      <c r="AH860" s="1006"/>
      <c r="AI860" s="1006"/>
      <c r="AJ860" s="1006"/>
      <c r="AK860" s="1006"/>
      <c r="AL860" s="1006"/>
      <c r="AM860" s="1006"/>
      <c r="AN860" s="1006"/>
      <c r="AO860" s="1006"/>
      <c r="AP860" s="1006"/>
      <c r="AQ860" s="1006"/>
      <c r="AR860" s="1006"/>
      <c r="AS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c r="AA861" s="1006"/>
      <c r="AB861" s="1006"/>
      <c r="AC861" s="1006"/>
      <c r="AD861" s="1006"/>
      <c r="AE861" s="1006"/>
      <c r="AF861" s="1006"/>
      <c r="AG861" s="1006"/>
      <c r="AH861" s="1006"/>
      <c r="AI861" s="1006"/>
      <c r="AJ861" s="1006"/>
      <c r="AK861" s="1006"/>
      <c r="AL861" s="1006"/>
      <c r="AM861" s="1006"/>
      <c r="AN861" s="1006"/>
      <c r="AO861" s="1006"/>
      <c r="AP861" s="1006"/>
      <c r="AQ861" s="1006"/>
      <c r="AR861" s="1006"/>
      <c r="AS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c r="AA862" s="1006"/>
      <c r="AB862" s="1006"/>
      <c r="AC862" s="1006"/>
      <c r="AD862" s="1006"/>
      <c r="AE862" s="1006"/>
      <c r="AF862" s="1006"/>
      <c r="AG862" s="1006"/>
      <c r="AH862" s="1006"/>
      <c r="AI862" s="1006"/>
      <c r="AJ862" s="1006"/>
      <c r="AK862" s="1006"/>
      <c r="AL862" s="1006"/>
      <c r="AM862" s="1006"/>
      <c r="AN862" s="1006"/>
      <c r="AO862" s="1006"/>
      <c r="AP862" s="1006"/>
      <c r="AQ862" s="1006"/>
      <c r="AR862" s="1006"/>
      <c r="AS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c r="AA863" s="1006"/>
      <c r="AB863" s="1006"/>
      <c r="AC863" s="1006"/>
      <c r="AD863" s="1006"/>
      <c r="AE863" s="1006"/>
      <c r="AF863" s="1006"/>
      <c r="AG863" s="1006"/>
      <c r="AH863" s="1006"/>
      <c r="AI863" s="1006"/>
      <c r="AJ863" s="1006"/>
      <c r="AK863" s="1006"/>
      <c r="AL863" s="1006"/>
      <c r="AM863" s="1006"/>
      <c r="AN863" s="1006"/>
      <c r="AO863" s="1006"/>
      <c r="AP863" s="1006"/>
      <c r="AQ863" s="1006"/>
      <c r="AR863" s="1006"/>
      <c r="AS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c r="AA864" s="1006"/>
      <c r="AB864" s="1006"/>
      <c r="AC864" s="1006"/>
      <c r="AD864" s="1006"/>
      <c r="AE864" s="1006"/>
      <c r="AF864" s="1006"/>
      <c r="AG864" s="1006"/>
      <c r="AH864" s="1006"/>
      <c r="AI864" s="1006"/>
      <c r="AJ864" s="1006"/>
      <c r="AK864" s="1006"/>
      <c r="AL864" s="1006"/>
      <c r="AM864" s="1006"/>
      <c r="AN864" s="1006"/>
      <c r="AO864" s="1006"/>
      <c r="AP864" s="1006"/>
      <c r="AQ864" s="1006"/>
      <c r="AR864" s="1006"/>
      <c r="AS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c r="AA865" s="1006"/>
      <c r="AB865" s="1006"/>
      <c r="AC865" s="1006"/>
      <c r="AD865" s="1006"/>
      <c r="AE865" s="1006"/>
      <c r="AF865" s="1006"/>
      <c r="AG865" s="1006"/>
      <c r="AH865" s="1006"/>
      <c r="AI865" s="1006"/>
      <c r="AJ865" s="1006"/>
      <c r="AK865" s="1006"/>
      <c r="AL865" s="1006"/>
      <c r="AM865" s="1006"/>
      <c r="AN865" s="1006"/>
      <c r="AO865" s="1006"/>
      <c r="AP865" s="1006"/>
      <c r="AQ865" s="1006"/>
      <c r="AR865" s="1006"/>
      <c r="AS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c r="AA866" s="1006"/>
      <c r="AB866" s="1006"/>
      <c r="AC866" s="1006"/>
      <c r="AD866" s="1006"/>
      <c r="AE866" s="1006"/>
      <c r="AF866" s="1006"/>
      <c r="AG866" s="1006"/>
      <c r="AH866" s="1006"/>
      <c r="AI866" s="1006"/>
      <c r="AJ866" s="1006"/>
      <c r="AK866" s="1006"/>
      <c r="AL866" s="1006"/>
      <c r="AM866" s="1006"/>
      <c r="AN866" s="1006"/>
      <c r="AO866" s="1006"/>
      <c r="AP866" s="1006"/>
      <c r="AQ866" s="1006"/>
      <c r="AR866" s="1006"/>
      <c r="AS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c r="AA867" s="1006"/>
      <c r="AB867" s="1006"/>
      <c r="AC867" s="1006"/>
      <c r="AD867" s="1006"/>
      <c r="AE867" s="1006"/>
      <c r="AF867" s="1006"/>
      <c r="AG867" s="1006"/>
      <c r="AH867" s="1006"/>
      <c r="AI867" s="1006"/>
      <c r="AJ867" s="1006"/>
      <c r="AK867" s="1006"/>
      <c r="AL867" s="1006"/>
      <c r="AM867" s="1006"/>
      <c r="AN867" s="1006"/>
      <c r="AO867" s="1006"/>
      <c r="AP867" s="1006"/>
      <c r="AQ867" s="1006"/>
      <c r="AR867" s="1006"/>
      <c r="AS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c r="AA868" s="1006"/>
      <c r="AB868" s="1006"/>
      <c r="AC868" s="1006"/>
      <c r="AD868" s="1006"/>
      <c r="AE868" s="1006"/>
      <c r="AF868" s="1006"/>
      <c r="AG868" s="1006"/>
      <c r="AH868" s="1006"/>
      <c r="AI868" s="1006"/>
      <c r="AJ868" s="1006"/>
      <c r="AK868" s="1006"/>
      <c r="AL868" s="1006"/>
      <c r="AM868" s="1006"/>
      <c r="AN868" s="1006"/>
      <c r="AO868" s="1006"/>
      <c r="AP868" s="1006"/>
      <c r="AQ868" s="1006"/>
      <c r="AR868" s="1006"/>
      <c r="AS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c r="AA869" s="1006"/>
      <c r="AB869" s="1006"/>
      <c r="AC869" s="1006"/>
      <c r="AD869" s="1006"/>
      <c r="AE869" s="1006"/>
      <c r="AF869" s="1006"/>
      <c r="AG869" s="1006"/>
      <c r="AH869" s="1006"/>
      <c r="AI869" s="1006"/>
      <c r="AJ869" s="1006"/>
      <c r="AK869" s="1006"/>
      <c r="AL869" s="1006"/>
      <c r="AM869" s="1006"/>
      <c r="AN869" s="1006"/>
      <c r="AO869" s="1006"/>
      <c r="AP869" s="1006"/>
      <c r="AQ869" s="1006"/>
      <c r="AR869" s="1006"/>
      <c r="AS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c r="AA870" s="1006"/>
      <c r="AB870" s="1006"/>
      <c r="AC870" s="1006"/>
      <c r="AD870" s="1006"/>
      <c r="AE870" s="1006"/>
      <c r="AF870" s="1006"/>
      <c r="AG870" s="1006"/>
      <c r="AH870" s="1006"/>
      <c r="AI870" s="1006"/>
      <c r="AJ870" s="1006"/>
      <c r="AK870" s="1006"/>
      <c r="AL870" s="1006"/>
      <c r="AM870" s="1006"/>
      <c r="AN870" s="1006"/>
      <c r="AO870" s="1006"/>
      <c r="AP870" s="1006"/>
      <c r="AQ870" s="1006"/>
      <c r="AR870" s="1006"/>
      <c r="AS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c r="AA871" s="1006"/>
      <c r="AB871" s="1006"/>
      <c r="AC871" s="1006"/>
      <c r="AD871" s="1006"/>
      <c r="AE871" s="1006"/>
      <c r="AF871" s="1006"/>
      <c r="AG871" s="1006"/>
      <c r="AH871" s="1006"/>
      <c r="AI871" s="1006"/>
      <c r="AJ871" s="1006"/>
      <c r="AK871" s="1006"/>
      <c r="AL871" s="1006"/>
      <c r="AM871" s="1006"/>
      <c r="AN871" s="1006"/>
      <c r="AO871" s="1006"/>
      <c r="AP871" s="1006"/>
      <c r="AQ871" s="1006"/>
      <c r="AR871" s="1006"/>
      <c r="AS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c r="AA872" s="1006"/>
      <c r="AB872" s="1006"/>
      <c r="AC872" s="1006"/>
      <c r="AD872" s="1006"/>
      <c r="AE872" s="1006"/>
      <c r="AF872" s="1006"/>
      <c r="AG872" s="1006"/>
      <c r="AH872" s="1006"/>
      <c r="AI872" s="1006"/>
      <c r="AJ872" s="1006"/>
      <c r="AK872" s="1006"/>
      <c r="AL872" s="1006"/>
      <c r="AM872" s="1006"/>
      <c r="AN872" s="1006"/>
      <c r="AO872" s="1006"/>
      <c r="AP872" s="1006"/>
      <c r="AQ872" s="1006"/>
      <c r="AR872" s="1006"/>
      <c r="AS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c r="AA873" s="1006"/>
      <c r="AB873" s="1006"/>
      <c r="AC873" s="1006"/>
      <c r="AD873" s="1006"/>
      <c r="AE873" s="1006"/>
      <c r="AF873" s="1006"/>
      <c r="AG873" s="1006"/>
      <c r="AH873" s="1006"/>
      <c r="AI873" s="1006"/>
      <c r="AJ873" s="1006"/>
      <c r="AK873" s="1006"/>
      <c r="AL873" s="1006"/>
      <c r="AM873" s="1006"/>
      <c r="AN873" s="1006"/>
      <c r="AO873" s="1006"/>
      <c r="AP873" s="1006"/>
      <c r="AQ873" s="1006"/>
      <c r="AR873" s="1006"/>
      <c r="AS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c r="AA874" s="1006"/>
      <c r="AB874" s="1006"/>
      <c r="AC874" s="1006"/>
      <c r="AD874" s="1006"/>
      <c r="AE874" s="1006"/>
      <c r="AF874" s="1006"/>
      <c r="AG874" s="1006"/>
      <c r="AH874" s="1006"/>
      <c r="AI874" s="1006"/>
      <c r="AJ874" s="1006"/>
      <c r="AK874" s="1006"/>
      <c r="AL874" s="1006"/>
      <c r="AM874" s="1006"/>
      <c r="AN874" s="1006"/>
      <c r="AO874" s="1006"/>
      <c r="AP874" s="1006"/>
      <c r="AQ874" s="1006"/>
      <c r="AR874" s="1006"/>
      <c r="AS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c r="AA875" s="1006"/>
      <c r="AB875" s="1006"/>
      <c r="AC875" s="1006"/>
      <c r="AD875" s="1006"/>
      <c r="AE875" s="1006"/>
      <c r="AF875" s="1006"/>
      <c r="AG875" s="1006"/>
      <c r="AH875" s="1006"/>
      <c r="AI875" s="1006"/>
      <c r="AJ875" s="1006"/>
      <c r="AK875" s="1006"/>
      <c r="AL875" s="1006"/>
      <c r="AM875" s="1006"/>
      <c r="AN875" s="1006"/>
      <c r="AO875" s="1006"/>
      <c r="AP875" s="1006"/>
      <c r="AQ875" s="1006"/>
      <c r="AR875" s="1006"/>
      <c r="AS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c r="AA876" s="1006"/>
      <c r="AB876" s="1006"/>
      <c r="AC876" s="1006"/>
      <c r="AD876" s="1006"/>
      <c r="AE876" s="1006"/>
      <c r="AF876" s="1006"/>
      <c r="AG876" s="1006"/>
      <c r="AH876" s="1006"/>
      <c r="AI876" s="1006"/>
      <c r="AJ876" s="1006"/>
      <c r="AK876" s="1006"/>
      <c r="AL876" s="1006"/>
      <c r="AM876" s="1006"/>
      <c r="AN876" s="1006"/>
      <c r="AO876" s="1006"/>
      <c r="AP876" s="1006"/>
      <c r="AQ876" s="1006"/>
      <c r="AR876" s="1006"/>
      <c r="AS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c r="AA877" s="1006"/>
      <c r="AB877" s="1006"/>
      <c r="AC877" s="1006"/>
      <c r="AD877" s="1006"/>
      <c r="AE877" s="1006"/>
      <c r="AF877" s="1006"/>
      <c r="AG877" s="1006"/>
      <c r="AH877" s="1006"/>
      <c r="AI877" s="1006"/>
      <c r="AJ877" s="1006"/>
      <c r="AK877" s="1006"/>
      <c r="AL877" s="1006"/>
      <c r="AM877" s="1006"/>
      <c r="AN877" s="1006"/>
      <c r="AO877" s="1006"/>
      <c r="AP877" s="1006"/>
      <c r="AQ877" s="1006"/>
      <c r="AR877" s="1006"/>
      <c r="AS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c r="AA878" s="1006"/>
      <c r="AB878" s="1006"/>
      <c r="AC878" s="1006"/>
      <c r="AD878" s="1006"/>
      <c r="AE878" s="1006"/>
      <c r="AF878" s="1006"/>
      <c r="AG878" s="1006"/>
      <c r="AH878" s="1006"/>
      <c r="AI878" s="1006"/>
      <c r="AJ878" s="1006"/>
      <c r="AK878" s="1006"/>
      <c r="AL878" s="1006"/>
      <c r="AM878" s="1006"/>
      <c r="AN878" s="1006"/>
      <c r="AO878" s="1006"/>
      <c r="AP878" s="1006"/>
      <c r="AQ878" s="1006"/>
      <c r="AR878" s="1006"/>
      <c r="AS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c r="AA879" s="1006"/>
      <c r="AB879" s="1006"/>
      <c r="AC879" s="1006"/>
      <c r="AD879" s="1006"/>
      <c r="AE879" s="1006"/>
      <c r="AF879" s="1006"/>
      <c r="AG879" s="1006"/>
      <c r="AH879" s="1006"/>
      <c r="AI879" s="1006"/>
      <c r="AJ879" s="1006"/>
      <c r="AK879" s="1006"/>
      <c r="AL879" s="1006"/>
      <c r="AM879" s="1006"/>
      <c r="AN879" s="1006"/>
      <c r="AO879" s="1006"/>
      <c r="AP879" s="1006"/>
      <c r="AQ879" s="1006"/>
      <c r="AR879" s="1006"/>
      <c r="AS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c r="AA880" s="1006"/>
      <c r="AB880" s="1006"/>
      <c r="AC880" s="1006"/>
      <c r="AD880" s="1006"/>
      <c r="AE880" s="1006"/>
      <c r="AF880" s="1006"/>
      <c r="AG880" s="1006"/>
      <c r="AH880" s="1006"/>
      <c r="AI880" s="1006"/>
      <c r="AJ880" s="1006"/>
      <c r="AK880" s="1006"/>
      <c r="AL880" s="1006"/>
      <c r="AM880" s="1006"/>
      <c r="AN880" s="1006"/>
      <c r="AO880" s="1006"/>
      <c r="AP880" s="1006"/>
      <c r="AQ880" s="1006"/>
      <c r="AR880" s="1006"/>
      <c r="AS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c r="AA881" s="1006"/>
      <c r="AB881" s="1006"/>
      <c r="AC881" s="1006"/>
      <c r="AD881" s="1006"/>
      <c r="AE881" s="1006"/>
      <c r="AF881" s="1006"/>
      <c r="AG881" s="1006"/>
      <c r="AH881" s="1006"/>
      <c r="AI881" s="1006"/>
      <c r="AJ881" s="1006"/>
      <c r="AK881" s="1006"/>
      <c r="AL881" s="1006"/>
      <c r="AM881" s="1006"/>
      <c r="AN881" s="1006"/>
      <c r="AO881" s="1006"/>
      <c r="AP881" s="1006"/>
      <c r="AQ881" s="1006"/>
      <c r="AR881" s="1006"/>
      <c r="AS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c r="AA882" s="1006"/>
      <c r="AB882" s="1006"/>
      <c r="AC882" s="1006"/>
      <c r="AD882" s="1006"/>
      <c r="AE882" s="1006"/>
      <c r="AF882" s="1006"/>
      <c r="AG882" s="1006"/>
      <c r="AH882" s="1006"/>
      <c r="AI882" s="1006"/>
      <c r="AJ882" s="1006"/>
      <c r="AK882" s="1006"/>
      <c r="AL882" s="1006"/>
      <c r="AM882" s="1006"/>
      <c r="AN882" s="1006"/>
      <c r="AO882" s="1006"/>
      <c r="AP882" s="1006"/>
      <c r="AQ882" s="1006"/>
      <c r="AR882" s="1006"/>
      <c r="AS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c r="AA883" s="1006"/>
      <c r="AB883" s="1006"/>
      <c r="AC883" s="1006"/>
      <c r="AD883" s="1006"/>
      <c r="AE883" s="1006"/>
      <c r="AF883" s="1006"/>
      <c r="AG883" s="1006"/>
      <c r="AH883" s="1006"/>
      <c r="AI883" s="1006"/>
      <c r="AJ883" s="1006"/>
      <c r="AK883" s="1006"/>
      <c r="AL883" s="1006"/>
      <c r="AM883" s="1006"/>
      <c r="AN883" s="1006"/>
      <c r="AO883" s="1006"/>
      <c r="AP883" s="1006"/>
      <c r="AQ883" s="1006"/>
      <c r="AR883" s="1006"/>
      <c r="AS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c r="AA884" s="1006"/>
      <c r="AB884" s="1006"/>
      <c r="AC884" s="1006"/>
      <c r="AD884" s="1006"/>
      <c r="AE884" s="1006"/>
      <c r="AF884" s="1006"/>
      <c r="AG884" s="1006"/>
      <c r="AH884" s="1006"/>
      <c r="AI884" s="1006"/>
      <c r="AJ884" s="1006"/>
      <c r="AK884" s="1006"/>
      <c r="AL884" s="1006"/>
      <c r="AM884" s="1006"/>
      <c r="AN884" s="1006"/>
      <c r="AO884" s="1006"/>
      <c r="AP884" s="1006"/>
      <c r="AQ884" s="1006"/>
      <c r="AR884" s="1006"/>
      <c r="AS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c r="AA885" s="1006"/>
      <c r="AB885" s="1006"/>
      <c r="AC885" s="1006"/>
      <c r="AD885" s="1006"/>
      <c r="AE885" s="1006"/>
      <c r="AF885" s="1006"/>
      <c r="AG885" s="1006"/>
      <c r="AH885" s="1006"/>
      <c r="AI885" s="1006"/>
      <c r="AJ885" s="1006"/>
      <c r="AK885" s="1006"/>
      <c r="AL885" s="1006"/>
      <c r="AM885" s="1006"/>
      <c r="AN885" s="1006"/>
      <c r="AO885" s="1006"/>
      <c r="AP885" s="1006"/>
      <c r="AQ885" s="1006"/>
      <c r="AR885" s="1006"/>
      <c r="AS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c r="AA886" s="1006"/>
      <c r="AB886" s="1006"/>
      <c r="AC886" s="1006"/>
      <c r="AD886" s="1006"/>
      <c r="AE886" s="1006"/>
      <c r="AF886" s="1006"/>
      <c r="AG886" s="1006"/>
      <c r="AH886" s="1006"/>
      <c r="AI886" s="1006"/>
      <c r="AJ886" s="1006"/>
      <c r="AK886" s="1006"/>
      <c r="AL886" s="1006"/>
      <c r="AM886" s="1006"/>
      <c r="AN886" s="1006"/>
      <c r="AO886" s="1006"/>
      <c r="AP886" s="1006"/>
      <c r="AQ886" s="1006"/>
      <c r="AR886" s="1006"/>
      <c r="AS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c r="AA887" s="1006"/>
      <c r="AB887" s="1006"/>
      <c r="AC887" s="1006"/>
      <c r="AD887" s="1006"/>
      <c r="AE887" s="1006"/>
      <c r="AF887" s="1006"/>
      <c r="AG887" s="1006"/>
      <c r="AH887" s="1006"/>
      <c r="AI887" s="1006"/>
      <c r="AJ887" s="1006"/>
      <c r="AK887" s="1006"/>
      <c r="AL887" s="1006"/>
      <c r="AM887" s="1006"/>
      <c r="AN887" s="1006"/>
      <c r="AO887" s="1006"/>
      <c r="AP887" s="1006"/>
      <c r="AQ887" s="1006"/>
      <c r="AR887" s="1006"/>
      <c r="AS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c r="AA888" s="1006"/>
      <c r="AB888" s="1006"/>
      <c r="AC888" s="1006"/>
      <c r="AD888" s="1006"/>
      <c r="AE888" s="1006"/>
      <c r="AF888" s="1006"/>
      <c r="AG888" s="1006"/>
      <c r="AH888" s="1006"/>
      <c r="AI888" s="1006"/>
      <c r="AJ888" s="1006"/>
      <c r="AK888" s="1006"/>
      <c r="AL888" s="1006"/>
      <c r="AM888" s="1006"/>
      <c r="AN888" s="1006"/>
      <c r="AO888" s="1006"/>
      <c r="AP888" s="1006"/>
      <c r="AQ888" s="1006"/>
      <c r="AR888" s="1006"/>
      <c r="AS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c r="AA889" s="1006"/>
      <c r="AB889" s="1006"/>
      <c r="AC889" s="1006"/>
      <c r="AD889" s="1006"/>
      <c r="AE889" s="1006"/>
      <c r="AF889" s="1006"/>
      <c r="AG889" s="1006"/>
      <c r="AH889" s="1006"/>
      <c r="AI889" s="1006"/>
      <c r="AJ889" s="1006"/>
      <c r="AK889" s="1006"/>
      <c r="AL889" s="1006"/>
      <c r="AM889" s="1006"/>
      <c r="AN889" s="1006"/>
      <c r="AO889" s="1006"/>
      <c r="AP889" s="1006"/>
      <c r="AQ889" s="1006"/>
      <c r="AR889" s="1006"/>
      <c r="AS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c r="AA890" s="1006"/>
      <c r="AB890" s="1006"/>
      <c r="AC890" s="1006"/>
      <c r="AD890" s="1006"/>
      <c r="AE890" s="1006"/>
      <c r="AF890" s="1006"/>
      <c r="AG890" s="1006"/>
      <c r="AH890" s="1006"/>
      <c r="AI890" s="1006"/>
      <c r="AJ890" s="1006"/>
      <c r="AK890" s="1006"/>
      <c r="AL890" s="1006"/>
      <c r="AM890" s="1006"/>
      <c r="AN890" s="1006"/>
      <c r="AO890" s="1006"/>
      <c r="AP890" s="1006"/>
      <c r="AQ890" s="1006"/>
      <c r="AR890" s="1006"/>
      <c r="AS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c r="AA891" s="1006"/>
      <c r="AB891" s="1006"/>
      <c r="AC891" s="1006"/>
      <c r="AD891" s="1006"/>
      <c r="AE891" s="1006"/>
      <c r="AF891" s="1006"/>
      <c r="AG891" s="1006"/>
      <c r="AH891" s="1006"/>
      <c r="AI891" s="1006"/>
      <c r="AJ891" s="1006"/>
      <c r="AK891" s="1006"/>
      <c r="AL891" s="1006"/>
      <c r="AM891" s="1006"/>
      <c r="AN891" s="1006"/>
      <c r="AO891" s="1006"/>
      <c r="AP891" s="1006"/>
      <c r="AQ891" s="1006"/>
      <c r="AR891" s="1006"/>
      <c r="AS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c r="AA892" s="1006"/>
      <c r="AB892" s="1006"/>
      <c r="AC892" s="1006"/>
      <c r="AD892" s="1006"/>
      <c r="AE892" s="1006"/>
      <c r="AF892" s="1006"/>
      <c r="AG892" s="1006"/>
      <c r="AH892" s="1006"/>
      <c r="AI892" s="1006"/>
      <c r="AJ892" s="1006"/>
      <c r="AK892" s="1006"/>
      <c r="AL892" s="1006"/>
      <c r="AM892" s="1006"/>
      <c r="AN892" s="1006"/>
      <c r="AO892" s="1006"/>
      <c r="AP892" s="1006"/>
      <c r="AQ892" s="1006"/>
      <c r="AR892" s="1006"/>
      <c r="AS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c r="AA893" s="1006"/>
      <c r="AB893" s="1006"/>
      <c r="AC893" s="1006"/>
      <c r="AD893" s="1006"/>
      <c r="AE893" s="1006"/>
      <c r="AF893" s="1006"/>
      <c r="AG893" s="1006"/>
      <c r="AH893" s="1006"/>
      <c r="AI893" s="1006"/>
      <c r="AJ893" s="1006"/>
      <c r="AK893" s="1006"/>
      <c r="AL893" s="1006"/>
      <c r="AM893" s="1006"/>
      <c r="AN893" s="1006"/>
      <c r="AO893" s="1006"/>
      <c r="AP893" s="1006"/>
      <c r="AQ893" s="1006"/>
      <c r="AR893" s="1006"/>
      <c r="AS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c r="AA894" s="1006"/>
      <c r="AB894" s="1006"/>
      <c r="AC894" s="1006"/>
      <c r="AD894" s="1006"/>
      <c r="AE894" s="1006"/>
      <c r="AF894" s="1006"/>
      <c r="AG894" s="1006"/>
      <c r="AH894" s="1006"/>
      <c r="AI894" s="1006"/>
      <c r="AJ894" s="1006"/>
      <c r="AK894" s="1006"/>
      <c r="AL894" s="1006"/>
      <c r="AM894" s="1006"/>
      <c r="AN894" s="1006"/>
      <c r="AO894" s="1006"/>
      <c r="AP894" s="1006"/>
      <c r="AQ894" s="1006"/>
      <c r="AR894" s="1006"/>
      <c r="AS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c r="AA895" s="1006"/>
      <c r="AB895" s="1006"/>
      <c r="AC895" s="1006"/>
      <c r="AD895" s="1006"/>
      <c r="AE895" s="1006"/>
      <c r="AF895" s="1006"/>
      <c r="AG895" s="1006"/>
      <c r="AH895" s="1006"/>
      <c r="AI895" s="1006"/>
      <c r="AJ895" s="1006"/>
      <c r="AK895" s="1006"/>
      <c r="AL895" s="1006"/>
      <c r="AM895" s="1006"/>
      <c r="AN895" s="1006"/>
      <c r="AO895" s="1006"/>
      <c r="AP895" s="1006"/>
      <c r="AQ895" s="1006"/>
      <c r="AR895" s="1006"/>
      <c r="AS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c r="AA896" s="1006"/>
      <c r="AB896" s="1006"/>
      <c r="AC896" s="1006"/>
      <c r="AD896" s="1006"/>
      <c r="AE896" s="1006"/>
      <c r="AF896" s="1006"/>
      <c r="AG896" s="1006"/>
      <c r="AH896" s="1006"/>
      <c r="AI896" s="1006"/>
      <c r="AJ896" s="1006"/>
      <c r="AK896" s="1006"/>
      <c r="AL896" s="1006"/>
      <c r="AM896" s="1006"/>
      <c r="AN896" s="1006"/>
      <c r="AO896" s="1006"/>
      <c r="AP896" s="1006"/>
      <c r="AQ896" s="1006"/>
      <c r="AR896" s="1006"/>
      <c r="AS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c r="AA897" s="1006"/>
      <c r="AB897" s="1006"/>
      <c r="AC897" s="1006"/>
      <c r="AD897" s="1006"/>
      <c r="AE897" s="1006"/>
      <c r="AF897" s="1006"/>
      <c r="AG897" s="1006"/>
      <c r="AH897" s="1006"/>
      <c r="AI897" s="1006"/>
      <c r="AJ897" s="1006"/>
      <c r="AK897" s="1006"/>
      <c r="AL897" s="1006"/>
      <c r="AM897" s="1006"/>
      <c r="AN897" s="1006"/>
      <c r="AO897" s="1006"/>
      <c r="AP897" s="1006"/>
      <c r="AQ897" s="1006"/>
      <c r="AR897" s="1006"/>
      <c r="AS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c r="AA898" s="1006"/>
      <c r="AB898" s="1006"/>
      <c r="AC898" s="1006"/>
      <c r="AD898" s="1006"/>
      <c r="AE898" s="1006"/>
      <c r="AF898" s="1006"/>
      <c r="AG898" s="1006"/>
      <c r="AH898" s="1006"/>
      <c r="AI898" s="1006"/>
      <c r="AJ898" s="1006"/>
      <c r="AK898" s="1006"/>
      <c r="AL898" s="1006"/>
      <c r="AM898" s="1006"/>
      <c r="AN898" s="1006"/>
      <c r="AO898" s="1006"/>
      <c r="AP898" s="1006"/>
      <c r="AQ898" s="1006"/>
      <c r="AR898" s="1006"/>
      <c r="AS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c r="AA899" s="1006"/>
      <c r="AB899" s="1006"/>
      <c r="AC899" s="1006"/>
      <c r="AD899" s="1006"/>
      <c r="AE899" s="1006"/>
      <c r="AF899" s="1006"/>
      <c r="AG899" s="1006"/>
      <c r="AH899" s="1006"/>
      <c r="AI899" s="1006"/>
      <c r="AJ899" s="1006"/>
      <c r="AK899" s="1006"/>
      <c r="AL899" s="1006"/>
      <c r="AM899" s="1006"/>
      <c r="AN899" s="1006"/>
      <c r="AO899" s="1006"/>
      <c r="AP899" s="1006"/>
      <c r="AQ899" s="1006"/>
      <c r="AR899" s="1006"/>
      <c r="AS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c r="AA900" s="1006"/>
      <c r="AB900" s="1006"/>
      <c r="AC900" s="1006"/>
      <c r="AD900" s="1006"/>
      <c r="AE900" s="1006"/>
      <c r="AF900" s="1006"/>
      <c r="AG900" s="1006"/>
      <c r="AH900" s="1006"/>
      <c r="AI900" s="1006"/>
      <c r="AJ900" s="1006"/>
      <c r="AK900" s="1006"/>
      <c r="AL900" s="1006"/>
      <c r="AM900" s="1006"/>
      <c r="AN900" s="1006"/>
      <c r="AO900" s="1006"/>
      <c r="AP900" s="1006"/>
      <c r="AQ900" s="1006"/>
      <c r="AR900" s="1006"/>
      <c r="AS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c r="AA901" s="1006"/>
      <c r="AB901" s="1006"/>
      <c r="AC901" s="1006"/>
      <c r="AD901" s="1006"/>
      <c r="AE901" s="1006"/>
      <c r="AF901" s="1006"/>
      <c r="AG901" s="1006"/>
      <c r="AH901" s="1006"/>
      <c r="AI901" s="1006"/>
      <c r="AJ901" s="1006"/>
      <c r="AK901" s="1006"/>
      <c r="AL901" s="1006"/>
      <c r="AM901" s="1006"/>
      <c r="AN901" s="1006"/>
      <c r="AO901" s="1006"/>
      <c r="AP901" s="1006"/>
      <c r="AQ901" s="1006"/>
      <c r="AR901" s="1006"/>
      <c r="AS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c r="AA902" s="1006"/>
      <c r="AB902" s="1006"/>
      <c r="AC902" s="1006"/>
      <c r="AD902" s="1006"/>
      <c r="AE902" s="1006"/>
      <c r="AF902" s="1006"/>
      <c r="AG902" s="1006"/>
      <c r="AH902" s="1006"/>
      <c r="AI902" s="1006"/>
      <c r="AJ902" s="1006"/>
      <c r="AK902" s="1006"/>
      <c r="AL902" s="1006"/>
      <c r="AM902" s="1006"/>
      <c r="AN902" s="1006"/>
      <c r="AO902" s="1006"/>
      <c r="AP902" s="1006"/>
      <c r="AQ902" s="1006"/>
      <c r="AR902" s="1006"/>
      <c r="AS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c r="AA903" s="1006"/>
      <c r="AB903" s="1006"/>
      <c r="AC903" s="1006"/>
      <c r="AD903" s="1006"/>
      <c r="AE903" s="1006"/>
      <c r="AF903" s="1006"/>
      <c r="AG903" s="1006"/>
      <c r="AH903" s="1006"/>
      <c r="AI903" s="1006"/>
      <c r="AJ903" s="1006"/>
      <c r="AK903" s="1006"/>
      <c r="AL903" s="1006"/>
      <c r="AM903" s="1006"/>
      <c r="AN903" s="1006"/>
      <c r="AO903" s="1006"/>
      <c r="AP903" s="1006"/>
      <c r="AQ903" s="1006"/>
      <c r="AR903" s="1006"/>
      <c r="AS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c r="AA904" s="1006"/>
      <c r="AB904" s="1006"/>
      <c r="AC904" s="1006"/>
      <c r="AD904" s="1006"/>
      <c r="AE904" s="1006"/>
      <c r="AF904" s="1006"/>
      <c r="AG904" s="1006"/>
      <c r="AH904" s="1006"/>
      <c r="AI904" s="1006"/>
      <c r="AJ904" s="1006"/>
      <c r="AK904" s="1006"/>
      <c r="AL904" s="1006"/>
      <c r="AM904" s="1006"/>
      <c r="AN904" s="1006"/>
      <c r="AO904" s="1006"/>
      <c r="AP904" s="1006"/>
      <c r="AQ904" s="1006"/>
      <c r="AR904" s="1006"/>
      <c r="AS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c r="AA905" s="1006"/>
      <c r="AB905" s="1006"/>
      <c r="AC905" s="1006"/>
      <c r="AD905" s="1006"/>
      <c r="AE905" s="1006"/>
      <c r="AF905" s="1006"/>
      <c r="AG905" s="1006"/>
      <c r="AH905" s="1006"/>
      <c r="AI905" s="1006"/>
      <c r="AJ905" s="1006"/>
      <c r="AK905" s="1006"/>
      <c r="AL905" s="1006"/>
      <c r="AM905" s="1006"/>
      <c r="AN905" s="1006"/>
      <c r="AO905" s="1006"/>
      <c r="AP905" s="1006"/>
      <c r="AQ905" s="1006"/>
      <c r="AR905" s="1006"/>
      <c r="AS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c r="AA906" s="1006"/>
      <c r="AB906" s="1006"/>
      <c r="AC906" s="1006"/>
      <c r="AD906" s="1006"/>
      <c r="AE906" s="1006"/>
      <c r="AF906" s="1006"/>
      <c r="AG906" s="1006"/>
      <c r="AH906" s="1006"/>
      <c r="AI906" s="1006"/>
      <c r="AJ906" s="1006"/>
      <c r="AK906" s="1006"/>
      <c r="AL906" s="1006"/>
      <c r="AM906" s="1006"/>
      <c r="AN906" s="1006"/>
      <c r="AO906" s="1006"/>
      <c r="AP906" s="1006"/>
      <c r="AQ906" s="1006"/>
      <c r="AR906" s="1006"/>
      <c r="AS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c r="AA907" s="1006"/>
      <c r="AB907" s="1006"/>
      <c r="AC907" s="1006"/>
      <c r="AD907" s="1006"/>
      <c r="AE907" s="1006"/>
      <c r="AF907" s="1006"/>
      <c r="AG907" s="1006"/>
      <c r="AH907" s="1006"/>
      <c r="AI907" s="1006"/>
      <c r="AJ907" s="1006"/>
      <c r="AK907" s="1006"/>
      <c r="AL907" s="1006"/>
      <c r="AM907" s="1006"/>
      <c r="AN907" s="1006"/>
      <c r="AO907" s="1006"/>
      <c r="AP907" s="1006"/>
      <c r="AQ907" s="1006"/>
      <c r="AR907" s="1006"/>
      <c r="AS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c r="AA908" s="1006"/>
      <c r="AB908" s="1006"/>
      <c r="AC908" s="1006"/>
      <c r="AD908" s="1006"/>
      <c r="AE908" s="1006"/>
      <c r="AF908" s="1006"/>
      <c r="AG908" s="1006"/>
      <c r="AH908" s="1006"/>
      <c r="AI908" s="1006"/>
      <c r="AJ908" s="1006"/>
      <c r="AK908" s="1006"/>
      <c r="AL908" s="1006"/>
      <c r="AM908" s="1006"/>
      <c r="AN908" s="1006"/>
      <c r="AO908" s="1006"/>
      <c r="AP908" s="1006"/>
      <c r="AQ908" s="1006"/>
      <c r="AR908" s="1006"/>
      <c r="AS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c r="AA909" s="1006"/>
      <c r="AB909" s="1006"/>
      <c r="AC909" s="1006"/>
      <c r="AD909" s="1006"/>
      <c r="AE909" s="1006"/>
      <c r="AF909" s="1006"/>
      <c r="AG909" s="1006"/>
      <c r="AH909" s="1006"/>
      <c r="AI909" s="1006"/>
      <c r="AJ909" s="1006"/>
      <c r="AK909" s="1006"/>
      <c r="AL909" s="1006"/>
      <c r="AM909" s="1006"/>
      <c r="AN909" s="1006"/>
      <c r="AO909" s="1006"/>
      <c r="AP909" s="1006"/>
      <c r="AQ909" s="1006"/>
      <c r="AR909" s="1006"/>
      <c r="AS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c r="AA910" s="1006"/>
      <c r="AB910" s="1006"/>
      <c r="AC910" s="1006"/>
      <c r="AD910" s="1006"/>
      <c r="AE910" s="1006"/>
      <c r="AF910" s="1006"/>
      <c r="AG910" s="1006"/>
      <c r="AH910" s="1006"/>
      <c r="AI910" s="1006"/>
      <c r="AJ910" s="1006"/>
      <c r="AK910" s="1006"/>
      <c r="AL910" s="1006"/>
      <c r="AM910" s="1006"/>
      <c r="AN910" s="1006"/>
      <c r="AO910" s="1006"/>
      <c r="AP910" s="1006"/>
      <c r="AQ910" s="1006"/>
      <c r="AR910" s="1006"/>
      <c r="AS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c r="AA911" s="1006"/>
      <c r="AB911" s="1006"/>
      <c r="AC911" s="1006"/>
      <c r="AD911" s="1006"/>
      <c r="AE911" s="1006"/>
      <c r="AF911" s="1006"/>
      <c r="AG911" s="1006"/>
      <c r="AH911" s="1006"/>
      <c r="AI911" s="1006"/>
      <c r="AJ911" s="1006"/>
      <c r="AK911" s="1006"/>
      <c r="AL911" s="1006"/>
      <c r="AM911" s="1006"/>
      <c r="AN911" s="1006"/>
      <c r="AO911" s="1006"/>
      <c r="AP911" s="1006"/>
      <c r="AQ911" s="1006"/>
      <c r="AR911" s="1006"/>
      <c r="AS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c r="AA912" s="1006"/>
      <c r="AB912" s="1006"/>
      <c r="AC912" s="1006"/>
      <c r="AD912" s="1006"/>
      <c r="AE912" s="1006"/>
      <c r="AF912" s="1006"/>
      <c r="AG912" s="1006"/>
      <c r="AH912" s="1006"/>
      <c r="AI912" s="1006"/>
      <c r="AJ912" s="1006"/>
      <c r="AK912" s="1006"/>
      <c r="AL912" s="1006"/>
      <c r="AM912" s="1006"/>
      <c r="AN912" s="1006"/>
      <c r="AO912" s="1006"/>
      <c r="AP912" s="1006"/>
      <c r="AQ912" s="1006"/>
      <c r="AR912" s="1006"/>
      <c r="AS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c r="AA913" s="1006"/>
      <c r="AB913" s="1006"/>
      <c r="AC913" s="1006"/>
      <c r="AD913" s="1006"/>
      <c r="AE913" s="1006"/>
      <c r="AF913" s="1006"/>
      <c r="AG913" s="1006"/>
      <c r="AH913" s="1006"/>
      <c r="AI913" s="1006"/>
      <c r="AJ913" s="1006"/>
      <c r="AK913" s="1006"/>
      <c r="AL913" s="1006"/>
      <c r="AM913" s="1006"/>
      <c r="AN913" s="1006"/>
      <c r="AO913" s="1006"/>
      <c r="AP913" s="1006"/>
      <c r="AQ913" s="1006"/>
      <c r="AR913" s="1006"/>
      <c r="AS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c r="AA914" s="1006"/>
      <c r="AB914" s="1006"/>
      <c r="AC914" s="1006"/>
      <c r="AD914" s="1006"/>
      <c r="AE914" s="1006"/>
      <c r="AF914" s="1006"/>
      <c r="AG914" s="1006"/>
      <c r="AH914" s="1006"/>
      <c r="AI914" s="1006"/>
      <c r="AJ914" s="1006"/>
      <c r="AK914" s="1006"/>
      <c r="AL914" s="1006"/>
      <c r="AM914" s="1006"/>
      <c r="AN914" s="1006"/>
      <c r="AO914" s="1006"/>
      <c r="AP914" s="1006"/>
      <c r="AQ914" s="1006"/>
      <c r="AR914" s="1006"/>
      <c r="AS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c r="AA915" s="1006"/>
      <c r="AB915" s="1006"/>
      <c r="AC915" s="1006"/>
      <c r="AD915" s="1006"/>
      <c r="AE915" s="1006"/>
      <c r="AF915" s="1006"/>
      <c r="AG915" s="1006"/>
      <c r="AH915" s="1006"/>
      <c r="AI915" s="1006"/>
      <c r="AJ915" s="1006"/>
      <c r="AK915" s="1006"/>
      <c r="AL915" s="1006"/>
      <c r="AM915" s="1006"/>
      <c r="AN915" s="1006"/>
      <c r="AO915" s="1006"/>
      <c r="AP915" s="1006"/>
      <c r="AQ915" s="1006"/>
      <c r="AR915" s="1006"/>
      <c r="AS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c r="AA916" s="1006"/>
      <c r="AB916" s="1006"/>
      <c r="AC916" s="1006"/>
      <c r="AD916" s="1006"/>
      <c r="AE916" s="1006"/>
      <c r="AF916" s="1006"/>
      <c r="AG916" s="1006"/>
      <c r="AH916" s="1006"/>
      <c r="AI916" s="1006"/>
      <c r="AJ916" s="1006"/>
      <c r="AK916" s="1006"/>
      <c r="AL916" s="1006"/>
      <c r="AM916" s="1006"/>
      <c r="AN916" s="1006"/>
      <c r="AO916" s="1006"/>
      <c r="AP916" s="1006"/>
      <c r="AQ916" s="1006"/>
      <c r="AR916" s="1006"/>
      <c r="AS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c r="AA917" s="1006"/>
      <c r="AB917" s="1006"/>
      <c r="AC917" s="1006"/>
      <c r="AD917" s="1006"/>
      <c r="AE917" s="1006"/>
      <c r="AF917" s="1006"/>
      <c r="AG917" s="1006"/>
      <c r="AH917" s="1006"/>
      <c r="AI917" s="1006"/>
      <c r="AJ917" s="1006"/>
      <c r="AK917" s="1006"/>
      <c r="AL917" s="1006"/>
      <c r="AM917" s="1006"/>
      <c r="AN917" s="1006"/>
      <c r="AO917" s="1006"/>
      <c r="AP917" s="1006"/>
      <c r="AQ917" s="1006"/>
      <c r="AR917" s="1006"/>
      <c r="AS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c r="AA918" s="1006"/>
      <c r="AB918" s="1006"/>
      <c r="AC918" s="1006"/>
      <c r="AD918" s="1006"/>
      <c r="AE918" s="1006"/>
      <c r="AF918" s="1006"/>
      <c r="AG918" s="1006"/>
      <c r="AH918" s="1006"/>
      <c r="AI918" s="1006"/>
      <c r="AJ918" s="1006"/>
      <c r="AK918" s="1006"/>
      <c r="AL918" s="1006"/>
      <c r="AM918" s="1006"/>
      <c r="AN918" s="1006"/>
      <c r="AO918" s="1006"/>
      <c r="AP918" s="1006"/>
      <c r="AQ918" s="1006"/>
      <c r="AR918" s="1006"/>
      <c r="AS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c r="AA919" s="1006"/>
      <c r="AB919" s="1006"/>
      <c r="AC919" s="1006"/>
      <c r="AD919" s="1006"/>
      <c r="AE919" s="1006"/>
      <c r="AF919" s="1006"/>
      <c r="AG919" s="1006"/>
      <c r="AH919" s="1006"/>
      <c r="AI919" s="1006"/>
      <c r="AJ919" s="1006"/>
      <c r="AK919" s="1006"/>
      <c r="AL919" s="1006"/>
      <c r="AM919" s="1006"/>
      <c r="AN919" s="1006"/>
      <c r="AO919" s="1006"/>
      <c r="AP919" s="1006"/>
      <c r="AQ919" s="1006"/>
      <c r="AR919" s="1006"/>
      <c r="AS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c r="AA920" s="1006"/>
      <c r="AB920" s="1006"/>
      <c r="AC920" s="1006"/>
      <c r="AD920" s="1006"/>
      <c r="AE920" s="1006"/>
      <c r="AF920" s="1006"/>
      <c r="AG920" s="1006"/>
      <c r="AH920" s="1006"/>
      <c r="AI920" s="1006"/>
      <c r="AJ920" s="1006"/>
      <c r="AK920" s="1006"/>
      <c r="AL920" s="1006"/>
      <c r="AM920" s="1006"/>
      <c r="AN920" s="1006"/>
      <c r="AO920" s="1006"/>
      <c r="AP920" s="1006"/>
      <c r="AQ920" s="1006"/>
      <c r="AR920" s="1006"/>
      <c r="AS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c r="AA921" s="1006"/>
      <c r="AB921" s="1006"/>
      <c r="AC921" s="1006"/>
      <c r="AD921" s="1006"/>
      <c r="AE921" s="1006"/>
      <c r="AF921" s="1006"/>
      <c r="AG921" s="1006"/>
      <c r="AH921" s="1006"/>
      <c r="AI921" s="1006"/>
      <c r="AJ921" s="1006"/>
      <c r="AK921" s="1006"/>
      <c r="AL921" s="1006"/>
      <c r="AM921" s="1006"/>
      <c r="AN921" s="1006"/>
      <c r="AO921" s="1006"/>
      <c r="AP921" s="1006"/>
      <c r="AQ921" s="1006"/>
      <c r="AR921" s="1006"/>
      <c r="AS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c r="AA922" s="1006"/>
      <c r="AB922" s="1006"/>
      <c r="AC922" s="1006"/>
      <c r="AD922" s="1006"/>
      <c r="AE922" s="1006"/>
      <c r="AF922" s="1006"/>
      <c r="AG922" s="1006"/>
      <c r="AH922" s="1006"/>
      <c r="AI922" s="1006"/>
      <c r="AJ922" s="1006"/>
      <c r="AK922" s="1006"/>
      <c r="AL922" s="1006"/>
      <c r="AM922" s="1006"/>
      <c r="AN922" s="1006"/>
      <c r="AO922" s="1006"/>
      <c r="AP922" s="1006"/>
      <c r="AQ922" s="1006"/>
      <c r="AR922" s="1006"/>
      <c r="AS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c r="AA923" s="1006"/>
      <c r="AB923" s="1006"/>
      <c r="AC923" s="1006"/>
      <c r="AD923" s="1006"/>
      <c r="AE923" s="1006"/>
      <c r="AF923" s="1006"/>
      <c r="AG923" s="1006"/>
      <c r="AH923" s="1006"/>
      <c r="AI923" s="1006"/>
      <c r="AJ923" s="1006"/>
      <c r="AK923" s="1006"/>
      <c r="AL923" s="1006"/>
      <c r="AM923" s="1006"/>
      <c r="AN923" s="1006"/>
      <c r="AO923" s="1006"/>
      <c r="AP923" s="1006"/>
      <c r="AQ923" s="1006"/>
      <c r="AR923" s="1006"/>
      <c r="AS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c r="AA924" s="1006"/>
      <c r="AB924" s="1006"/>
      <c r="AC924" s="1006"/>
      <c r="AD924" s="1006"/>
      <c r="AE924" s="1006"/>
      <c r="AF924" s="1006"/>
      <c r="AG924" s="1006"/>
      <c r="AH924" s="1006"/>
      <c r="AI924" s="1006"/>
      <c r="AJ924" s="1006"/>
      <c r="AK924" s="1006"/>
      <c r="AL924" s="1006"/>
      <c r="AM924" s="1006"/>
      <c r="AN924" s="1006"/>
      <c r="AO924" s="1006"/>
      <c r="AP924" s="1006"/>
      <c r="AQ924" s="1006"/>
      <c r="AR924" s="1006"/>
      <c r="AS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c r="AA925" s="1006"/>
      <c r="AB925" s="1006"/>
      <c r="AC925" s="1006"/>
      <c r="AD925" s="1006"/>
      <c r="AE925" s="1006"/>
      <c r="AF925" s="1006"/>
      <c r="AG925" s="1006"/>
      <c r="AH925" s="1006"/>
      <c r="AI925" s="1006"/>
      <c r="AJ925" s="1006"/>
      <c r="AK925" s="1006"/>
      <c r="AL925" s="1006"/>
      <c r="AM925" s="1006"/>
      <c r="AN925" s="1006"/>
      <c r="AO925" s="1006"/>
      <c r="AP925" s="1006"/>
      <c r="AQ925" s="1006"/>
      <c r="AR925" s="1006"/>
      <c r="AS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c r="AA926" s="1006"/>
      <c r="AB926" s="1006"/>
      <c r="AC926" s="1006"/>
      <c r="AD926" s="1006"/>
      <c r="AE926" s="1006"/>
      <c r="AF926" s="1006"/>
      <c r="AG926" s="1006"/>
      <c r="AH926" s="1006"/>
      <c r="AI926" s="1006"/>
      <c r="AJ926" s="1006"/>
      <c r="AK926" s="1006"/>
      <c r="AL926" s="1006"/>
      <c r="AM926" s="1006"/>
      <c r="AN926" s="1006"/>
      <c r="AO926" s="1006"/>
      <c r="AP926" s="1006"/>
      <c r="AQ926" s="1006"/>
      <c r="AR926" s="1006"/>
      <c r="AS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c r="AA927" s="1006"/>
      <c r="AB927" s="1006"/>
      <c r="AC927" s="1006"/>
      <c r="AD927" s="1006"/>
      <c r="AE927" s="1006"/>
      <c r="AF927" s="1006"/>
      <c r="AG927" s="1006"/>
      <c r="AH927" s="1006"/>
      <c r="AI927" s="1006"/>
      <c r="AJ927" s="1006"/>
      <c r="AK927" s="1006"/>
      <c r="AL927" s="1006"/>
      <c r="AM927" s="1006"/>
      <c r="AN927" s="1006"/>
      <c r="AO927" s="1006"/>
      <c r="AP927" s="1006"/>
      <c r="AQ927" s="1006"/>
      <c r="AR927" s="1006"/>
      <c r="AS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c r="AA928" s="1006"/>
      <c r="AB928" s="1006"/>
      <c r="AC928" s="1006"/>
      <c r="AD928" s="1006"/>
      <c r="AE928" s="1006"/>
      <c r="AF928" s="1006"/>
      <c r="AG928" s="1006"/>
      <c r="AH928" s="1006"/>
      <c r="AI928" s="1006"/>
      <c r="AJ928" s="1006"/>
      <c r="AK928" s="1006"/>
      <c r="AL928" s="1006"/>
      <c r="AM928" s="1006"/>
      <c r="AN928" s="1006"/>
      <c r="AO928" s="1006"/>
      <c r="AP928" s="1006"/>
      <c r="AQ928" s="1006"/>
      <c r="AR928" s="1006"/>
      <c r="AS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c r="AA929" s="1006"/>
      <c r="AB929" s="1006"/>
      <c r="AC929" s="1006"/>
      <c r="AD929" s="1006"/>
      <c r="AE929" s="1006"/>
      <c r="AF929" s="1006"/>
      <c r="AG929" s="1006"/>
      <c r="AH929" s="1006"/>
      <c r="AI929" s="1006"/>
      <c r="AJ929" s="1006"/>
      <c r="AK929" s="1006"/>
      <c r="AL929" s="1006"/>
      <c r="AM929" s="1006"/>
      <c r="AN929" s="1006"/>
      <c r="AO929" s="1006"/>
      <c r="AP929" s="1006"/>
      <c r="AQ929" s="1006"/>
      <c r="AR929" s="1006"/>
      <c r="AS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c r="AA930" s="1006"/>
      <c r="AB930" s="1006"/>
      <c r="AC930" s="1006"/>
      <c r="AD930" s="1006"/>
      <c r="AE930" s="1006"/>
      <c r="AF930" s="1006"/>
      <c r="AG930" s="1006"/>
      <c r="AH930" s="1006"/>
      <c r="AI930" s="1006"/>
      <c r="AJ930" s="1006"/>
      <c r="AK930" s="1006"/>
      <c r="AL930" s="1006"/>
      <c r="AM930" s="1006"/>
      <c r="AN930" s="1006"/>
      <c r="AO930" s="1006"/>
      <c r="AP930" s="1006"/>
      <c r="AQ930" s="1006"/>
      <c r="AR930" s="1006"/>
      <c r="AS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c r="AA931" s="1006"/>
      <c r="AB931" s="1006"/>
      <c r="AC931" s="1006"/>
      <c r="AD931" s="1006"/>
      <c r="AE931" s="1006"/>
      <c r="AF931" s="1006"/>
      <c r="AG931" s="1006"/>
      <c r="AH931" s="1006"/>
      <c r="AI931" s="1006"/>
      <c r="AJ931" s="1006"/>
      <c r="AK931" s="1006"/>
      <c r="AL931" s="1006"/>
      <c r="AM931" s="1006"/>
      <c r="AN931" s="1006"/>
      <c r="AO931" s="1006"/>
      <c r="AP931" s="1006"/>
      <c r="AQ931" s="1006"/>
      <c r="AR931" s="1006"/>
      <c r="AS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c r="AA932" s="1006"/>
      <c r="AB932" s="1006"/>
      <c r="AC932" s="1006"/>
      <c r="AD932" s="1006"/>
      <c r="AE932" s="1006"/>
      <c r="AF932" s="1006"/>
      <c r="AG932" s="1006"/>
      <c r="AH932" s="1006"/>
      <c r="AI932" s="1006"/>
      <c r="AJ932" s="1006"/>
      <c r="AK932" s="1006"/>
      <c r="AL932" s="1006"/>
      <c r="AM932" s="1006"/>
      <c r="AN932" s="1006"/>
      <c r="AO932" s="1006"/>
      <c r="AP932" s="1006"/>
      <c r="AQ932" s="1006"/>
      <c r="AR932" s="1006"/>
      <c r="AS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c r="AA933" s="1006"/>
      <c r="AB933" s="1006"/>
      <c r="AC933" s="1006"/>
      <c r="AD933" s="1006"/>
      <c r="AE933" s="1006"/>
      <c r="AF933" s="1006"/>
      <c r="AG933" s="1006"/>
      <c r="AH933" s="1006"/>
      <c r="AI933" s="1006"/>
      <c r="AJ933" s="1006"/>
      <c r="AK933" s="1006"/>
      <c r="AL933" s="1006"/>
      <c r="AM933" s="1006"/>
      <c r="AN933" s="1006"/>
      <c r="AO933" s="1006"/>
      <c r="AP933" s="1006"/>
      <c r="AQ933" s="1006"/>
      <c r="AR933" s="1006"/>
      <c r="AS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c r="AA934" s="1006"/>
      <c r="AB934" s="1006"/>
      <c r="AC934" s="1006"/>
      <c r="AD934" s="1006"/>
      <c r="AE934" s="1006"/>
      <c r="AF934" s="1006"/>
      <c r="AG934" s="1006"/>
      <c r="AH934" s="1006"/>
      <c r="AI934" s="1006"/>
      <c r="AJ934" s="1006"/>
      <c r="AK934" s="1006"/>
      <c r="AL934" s="1006"/>
      <c r="AM934" s="1006"/>
      <c r="AN934" s="1006"/>
      <c r="AO934" s="1006"/>
      <c r="AP934" s="1006"/>
      <c r="AQ934" s="1006"/>
      <c r="AR934" s="1006"/>
      <c r="AS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c r="AA935" s="1006"/>
      <c r="AB935" s="1006"/>
      <c r="AC935" s="1006"/>
      <c r="AD935" s="1006"/>
      <c r="AE935" s="1006"/>
      <c r="AF935" s="1006"/>
      <c r="AG935" s="1006"/>
      <c r="AH935" s="1006"/>
      <c r="AI935" s="1006"/>
      <c r="AJ935" s="1006"/>
      <c r="AK935" s="1006"/>
      <c r="AL935" s="1006"/>
      <c r="AM935" s="1006"/>
      <c r="AN935" s="1006"/>
      <c r="AO935" s="1006"/>
      <c r="AP935" s="1006"/>
      <c r="AQ935" s="1006"/>
      <c r="AR935" s="1006"/>
      <c r="AS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c r="AA936" s="1006"/>
      <c r="AB936" s="1006"/>
      <c r="AC936" s="1006"/>
      <c r="AD936" s="1006"/>
      <c r="AE936" s="1006"/>
      <c r="AF936" s="1006"/>
      <c r="AG936" s="1006"/>
      <c r="AH936" s="1006"/>
      <c r="AI936" s="1006"/>
      <c r="AJ936" s="1006"/>
      <c r="AK936" s="1006"/>
      <c r="AL936" s="1006"/>
      <c r="AM936" s="1006"/>
      <c r="AN936" s="1006"/>
      <c r="AO936" s="1006"/>
      <c r="AP936" s="1006"/>
      <c r="AQ936" s="1006"/>
      <c r="AR936" s="1006"/>
      <c r="AS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c r="AA937" s="1006"/>
      <c r="AB937" s="1006"/>
      <c r="AC937" s="1006"/>
      <c r="AD937" s="1006"/>
      <c r="AE937" s="1006"/>
      <c r="AF937" s="1006"/>
      <c r="AG937" s="1006"/>
      <c r="AH937" s="1006"/>
      <c r="AI937" s="1006"/>
      <c r="AJ937" s="1006"/>
      <c r="AK937" s="1006"/>
      <c r="AL937" s="1006"/>
      <c r="AM937" s="1006"/>
      <c r="AN937" s="1006"/>
      <c r="AO937" s="1006"/>
      <c r="AP937" s="1006"/>
      <c r="AQ937" s="1006"/>
      <c r="AR937" s="1006"/>
      <c r="AS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c r="AA938" s="1006"/>
      <c r="AB938" s="1006"/>
      <c r="AC938" s="1006"/>
      <c r="AD938" s="1006"/>
      <c r="AE938" s="1006"/>
      <c r="AF938" s="1006"/>
      <c r="AG938" s="1006"/>
      <c r="AH938" s="1006"/>
      <c r="AI938" s="1006"/>
      <c r="AJ938" s="1006"/>
      <c r="AK938" s="1006"/>
      <c r="AL938" s="1006"/>
      <c r="AM938" s="1006"/>
      <c r="AN938" s="1006"/>
      <c r="AO938" s="1006"/>
      <c r="AP938" s="1006"/>
      <c r="AQ938" s="1006"/>
      <c r="AR938" s="1006"/>
      <c r="AS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c r="AA939" s="1006"/>
      <c r="AB939" s="1006"/>
      <c r="AC939" s="1006"/>
      <c r="AD939" s="1006"/>
      <c r="AE939" s="1006"/>
      <c r="AF939" s="1006"/>
      <c r="AG939" s="1006"/>
      <c r="AH939" s="1006"/>
      <c r="AI939" s="1006"/>
      <c r="AJ939" s="1006"/>
      <c r="AK939" s="1006"/>
      <c r="AL939" s="1006"/>
      <c r="AM939" s="1006"/>
      <c r="AN939" s="1006"/>
      <c r="AO939" s="1006"/>
      <c r="AP939" s="1006"/>
      <c r="AQ939" s="1006"/>
      <c r="AR939" s="1006"/>
      <c r="AS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c r="AA940" s="1006"/>
      <c r="AB940" s="1006"/>
      <c r="AC940" s="1006"/>
      <c r="AD940" s="1006"/>
      <c r="AE940" s="1006"/>
      <c r="AF940" s="1006"/>
      <c r="AG940" s="1006"/>
      <c r="AH940" s="1006"/>
      <c r="AI940" s="1006"/>
      <c r="AJ940" s="1006"/>
      <c r="AK940" s="1006"/>
      <c r="AL940" s="1006"/>
      <c r="AM940" s="1006"/>
      <c r="AN940" s="1006"/>
      <c r="AO940" s="1006"/>
      <c r="AP940" s="1006"/>
      <c r="AQ940" s="1006"/>
      <c r="AR940" s="1006"/>
      <c r="AS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c r="AA941" s="1006"/>
      <c r="AB941" s="1006"/>
      <c r="AC941" s="1006"/>
      <c r="AD941" s="1006"/>
      <c r="AE941" s="1006"/>
      <c r="AF941" s="1006"/>
      <c r="AG941" s="1006"/>
      <c r="AH941" s="1006"/>
      <c r="AI941" s="1006"/>
      <c r="AJ941" s="1006"/>
      <c r="AK941" s="1006"/>
      <c r="AL941" s="1006"/>
      <c r="AM941" s="1006"/>
      <c r="AN941" s="1006"/>
      <c r="AO941" s="1006"/>
      <c r="AP941" s="1006"/>
      <c r="AQ941" s="1006"/>
      <c r="AR941" s="1006"/>
      <c r="AS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c r="AA942" s="1006"/>
      <c r="AB942" s="1006"/>
      <c r="AC942" s="1006"/>
      <c r="AD942" s="1006"/>
      <c r="AE942" s="1006"/>
      <c r="AF942" s="1006"/>
      <c r="AG942" s="1006"/>
      <c r="AH942" s="1006"/>
      <c r="AI942" s="1006"/>
      <c r="AJ942" s="1006"/>
      <c r="AK942" s="1006"/>
      <c r="AL942" s="1006"/>
      <c r="AM942" s="1006"/>
      <c r="AN942" s="1006"/>
      <c r="AO942" s="1006"/>
      <c r="AP942" s="1006"/>
      <c r="AQ942" s="1006"/>
      <c r="AR942" s="1006"/>
      <c r="AS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c r="AA943" s="1006"/>
      <c r="AB943" s="1006"/>
      <c r="AC943" s="1006"/>
      <c r="AD943" s="1006"/>
      <c r="AE943" s="1006"/>
      <c r="AF943" s="1006"/>
      <c r="AG943" s="1006"/>
      <c r="AH943" s="1006"/>
      <c r="AI943" s="1006"/>
      <c r="AJ943" s="1006"/>
      <c r="AK943" s="1006"/>
      <c r="AL943" s="1006"/>
      <c r="AM943" s="1006"/>
      <c r="AN943" s="1006"/>
      <c r="AO943" s="1006"/>
      <c r="AP943" s="1006"/>
      <c r="AQ943" s="1006"/>
      <c r="AR943" s="1006"/>
      <c r="AS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c r="AA944" s="1006"/>
      <c r="AB944" s="1006"/>
      <c r="AC944" s="1006"/>
      <c r="AD944" s="1006"/>
      <c r="AE944" s="1006"/>
      <c r="AF944" s="1006"/>
      <c r="AG944" s="1006"/>
      <c r="AH944" s="1006"/>
      <c r="AI944" s="1006"/>
      <c r="AJ944" s="1006"/>
      <c r="AK944" s="1006"/>
      <c r="AL944" s="1006"/>
      <c r="AM944" s="1006"/>
      <c r="AN944" s="1006"/>
      <c r="AO944" s="1006"/>
      <c r="AP944" s="1006"/>
      <c r="AQ944" s="1006"/>
      <c r="AR944" s="1006"/>
      <c r="AS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c r="AA945" s="1006"/>
      <c r="AB945" s="1006"/>
      <c r="AC945" s="1006"/>
      <c r="AD945" s="1006"/>
      <c r="AE945" s="1006"/>
      <c r="AF945" s="1006"/>
      <c r="AG945" s="1006"/>
      <c r="AH945" s="1006"/>
      <c r="AI945" s="1006"/>
      <c r="AJ945" s="1006"/>
      <c r="AK945" s="1006"/>
      <c r="AL945" s="1006"/>
      <c r="AM945" s="1006"/>
      <c r="AN945" s="1006"/>
      <c r="AO945" s="1006"/>
      <c r="AP945" s="1006"/>
      <c r="AQ945" s="1006"/>
      <c r="AR945" s="1006"/>
      <c r="AS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c r="AA946" s="1006"/>
      <c r="AB946" s="1006"/>
      <c r="AC946" s="1006"/>
      <c r="AD946" s="1006"/>
      <c r="AE946" s="1006"/>
      <c r="AF946" s="1006"/>
      <c r="AG946" s="1006"/>
      <c r="AH946" s="1006"/>
      <c r="AI946" s="1006"/>
      <c r="AJ946" s="1006"/>
      <c r="AK946" s="1006"/>
      <c r="AL946" s="1006"/>
      <c r="AM946" s="1006"/>
      <c r="AN946" s="1006"/>
      <c r="AO946" s="1006"/>
      <c r="AP946" s="1006"/>
      <c r="AQ946" s="1006"/>
      <c r="AR946" s="1006"/>
      <c r="AS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c r="AA947" s="1006"/>
      <c r="AB947" s="1006"/>
      <c r="AC947" s="1006"/>
      <c r="AD947" s="1006"/>
      <c r="AE947" s="1006"/>
      <c r="AF947" s="1006"/>
      <c r="AG947" s="1006"/>
      <c r="AH947" s="1006"/>
      <c r="AI947" s="1006"/>
      <c r="AJ947" s="1006"/>
      <c r="AK947" s="1006"/>
      <c r="AL947" s="1006"/>
      <c r="AM947" s="1006"/>
      <c r="AN947" s="1006"/>
      <c r="AO947" s="1006"/>
      <c r="AP947" s="1006"/>
      <c r="AQ947" s="1006"/>
      <c r="AR947" s="1006"/>
      <c r="AS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c r="AA948" s="1006"/>
      <c r="AB948" s="1006"/>
      <c r="AC948" s="1006"/>
      <c r="AD948" s="1006"/>
      <c r="AE948" s="1006"/>
      <c r="AF948" s="1006"/>
      <c r="AG948" s="1006"/>
      <c r="AH948" s="1006"/>
      <c r="AI948" s="1006"/>
      <c r="AJ948" s="1006"/>
      <c r="AK948" s="1006"/>
      <c r="AL948" s="1006"/>
      <c r="AM948" s="1006"/>
      <c r="AN948" s="1006"/>
      <c r="AO948" s="1006"/>
      <c r="AP948" s="1006"/>
      <c r="AQ948" s="1006"/>
      <c r="AR948" s="1006"/>
      <c r="AS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c r="AA949" s="1006"/>
      <c r="AB949" s="1006"/>
      <c r="AC949" s="1006"/>
      <c r="AD949" s="1006"/>
      <c r="AE949" s="1006"/>
      <c r="AF949" s="1006"/>
      <c r="AG949" s="1006"/>
      <c r="AH949" s="1006"/>
      <c r="AI949" s="1006"/>
      <c r="AJ949" s="1006"/>
      <c r="AK949" s="1006"/>
      <c r="AL949" s="1006"/>
      <c r="AM949" s="1006"/>
      <c r="AN949" s="1006"/>
      <c r="AO949" s="1006"/>
      <c r="AP949" s="1006"/>
      <c r="AQ949" s="1006"/>
      <c r="AR949" s="1006"/>
      <c r="AS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c r="AA950" s="1006"/>
      <c r="AB950" s="1006"/>
      <c r="AC950" s="1006"/>
      <c r="AD950" s="1006"/>
      <c r="AE950" s="1006"/>
      <c r="AF950" s="1006"/>
      <c r="AG950" s="1006"/>
      <c r="AH950" s="1006"/>
      <c r="AI950" s="1006"/>
      <c r="AJ950" s="1006"/>
      <c r="AK950" s="1006"/>
      <c r="AL950" s="1006"/>
      <c r="AM950" s="1006"/>
      <c r="AN950" s="1006"/>
      <c r="AO950" s="1006"/>
      <c r="AP950" s="1006"/>
      <c r="AQ950" s="1006"/>
      <c r="AR950" s="1006"/>
      <c r="AS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c r="AA951" s="1006"/>
      <c r="AB951" s="1006"/>
      <c r="AC951" s="1006"/>
      <c r="AD951" s="1006"/>
      <c r="AE951" s="1006"/>
      <c r="AF951" s="1006"/>
      <c r="AG951" s="1006"/>
      <c r="AH951" s="1006"/>
      <c r="AI951" s="1006"/>
      <c r="AJ951" s="1006"/>
      <c r="AK951" s="1006"/>
      <c r="AL951" s="1006"/>
      <c r="AM951" s="1006"/>
      <c r="AN951" s="1006"/>
      <c r="AO951" s="1006"/>
      <c r="AP951" s="1006"/>
      <c r="AQ951" s="1006"/>
      <c r="AR951" s="1006"/>
      <c r="AS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c r="AA952" s="1006"/>
      <c r="AB952" s="1006"/>
      <c r="AC952" s="1006"/>
      <c r="AD952" s="1006"/>
      <c r="AE952" s="1006"/>
      <c r="AF952" s="1006"/>
      <c r="AG952" s="1006"/>
      <c r="AH952" s="1006"/>
      <c r="AI952" s="1006"/>
      <c r="AJ952" s="1006"/>
      <c r="AK952" s="1006"/>
      <c r="AL952" s="1006"/>
      <c r="AM952" s="1006"/>
      <c r="AN952" s="1006"/>
      <c r="AO952" s="1006"/>
      <c r="AP952" s="1006"/>
      <c r="AQ952" s="1006"/>
      <c r="AR952" s="1006"/>
      <c r="AS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c r="AA953" s="1006"/>
      <c r="AB953" s="1006"/>
      <c r="AC953" s="1006"/>
      <c r="AD953" s="1006"/>
      <c r="AE953" s="1006"/>
      <c r="AF953" s="1006"/>
      <c r="AG953" s="1006"/>
      <c r="AH953" s="1006"/>
      <c r="AI953" s="1006"/>
      <c r="AJ953" s="1006"/>
      <c r="AK953" s="1006"/>
      <c r="AL953" s="1006"/>
      <c r="AM953" s="1006"/>
      <c r="AN953" s="1006"/>
      <c r="AO953" s="1006"/>
      <c r="AP953" s="1006"/>
      <c r="AQ953" s="1006"/>
      <c r="AR953" s="1006"/>
      <c r="AS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c r="AA954" s="1006"/>
      <c r="AB954" s="1006"/>
      <c r="AC954" s="1006"/>
      <c r="AD954" s="1006"/>
      <c r="AE954" s="1006"/>
      <c r="AF954" s="1006"/>
      <c r="AG954" s="1006"/>
      <c r="AH954" s="1006"/>
      <c r="AI954" s="1006"/>
      <c r="AJ954" s="1006"/>
      <c r="AK954" s="1006"/>
      <c r="AL954" s="1006"/>
      <c r="AM954" s="1006"/>
      <c r="AN954" s="1006"/>
      <c r="AO954" s="1006"/>
      <c r="AP954" s="1006"/>
      <c r="AQ954" s="1006"/>
      <c r="AR954" s="1006"/>
      <c r="AS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c r="AA955" s="1006"/>
      <c r="AB955" s="1006"/>
      <c r="AC955" s="1006"/>
      <c r="AD955" s="1006"/>
      <c r="AE955" s="1006"/>
      <c r="AF955" s="1006"/>
      <c r="AG955" s="1006"/>
      <c r="AH955" s="1006"/>
      <c r="AI955" s="1006"/>
      <c r="AJ955" s="1006"/>
      <c r="AK955" s="1006"/>
      <c r="AL955" s="1006"/>
      <c r="AM955" s="1006"/>
      <c r="AN955" s="1006"/>
      <c r="AO955" s="1006"/>
      <c r="AP955" s="1006"/>
      <c r="AQ955" s="1006"/>
      <c r="AR955" s="1006"/>
      <c r="AS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c r="AA956" s="1006"/>
      <c r="AB956" s="1006"/>
      <c r="AC956" s="1006"/>
      <c r="AD956" s="1006"/>
      <c r="AE956" s="1006"/>
      <c r="AF956" s="1006"/>
      <c r="AG956" s="1006"/>
      <c r="AH956" s="1006"/>
      <c r="AI956" s="1006"/>
      <c r="AJ956" s="1006"/>
      <c r="AK956" s="1006"/>
      <c r="AL956" s="1006"/>
      <c r="AM956" s="1006"/>
      <c r="AN956" s="1006"/>
      <c r="AO956" s="1006"/>
      <c r="AP956" s="1006"/>
      <c r="AQ956" s="1006"/>
      <c r="AR956" s="1006"/>
      <c r="AS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c r="AA957" s="1006"/>
      <c r="AB957" s="1006"/>
      <c r="AC957" s="1006"/>
      <c r="AD957" s="1006"/>
      <c r="AE957" s="1006"/>
      <c r="AF957" s="1006"/>
      <c r="AG957" s="1006"/>
      <c r="AH957" s="1006"/>
      <c r="AI957" s="1006"/>
      <c r="AJ957" s="1006"/>
      <c r="AK957" s="1006"/>
      <c r="AL957" s="1006"/>
      <c r="AM957" s="1006"/>
      <c r="AN957" s="1006"/>
      <c r="AO957" s="1006"/>
      <c r="AP957" s="1006"/>
      <c r="AQ957" s="1006"/>
      <c r="AR957" s="1006"/>
      <c r="AS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c r="AA958" s="1006"/>
      <c r="AB958" s="1006"/>
      <c r="AC958" s="1006"/>
      <c r="AD958" s="1006"/>
      <c r="AE958" s="1006"/>
      <c r="AF958" s="1006"/>
      <c r="AG958" s="1006"/>
      <c r="AH958" s="1006"/>
      <c r="AI958" s="1006"/>
      <c r="AJ958" s="1006"/>
      <c r="AK958" s="1006"/>
      <c r="AL958" s="1006"/>
      <c r="AM958" s="1006"/>
      <c r="AN958" s="1006"/>
      <c r="AO958" s="1006"/>
      <c r="AP958" s="1006"/>
      <c r="AQ958" s="1006"/>
      <c r="AR958" s="1006"/>
      <c r="AS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c r="AA959" s="1006"/>
      <c r="AB959" s="1006"/>
      <c r="AC959" s="1006"/>
      <c r="AD959" s="1006"/>
      <c r="AE959" s="1006"/>
      <c r="AF959" s="1006"/>
      <c r="AG959" s="1006"/>
      <c r="AH959" s="1006"/>
      <c r="AI959" s="1006"/>
      <c r="AJ959" s="1006"/>
      <c r="AK959" s="1006"/>
      <c r="AL959" s="1006"/>
      <c r="AM959" s="1006"/>
      <c r="AN959" s="1006"/>
      <c r="AO959" s="1006"/>
      <c r="AP959" s="1006"/>
      <c r="AQ959" s="1006"/>
      <c r="AR959" s="1006"/>
      <c r="AS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c r="AA960" s="1006"/>
      <c r="AB960" s="1006"/>
      <c r="AC960" s="1006"/>
      <c r="AD960" s="1006"/>
      <c r="AE960" s="1006"/>
      <c r="AF960" s="1006"/>
      <c r="AG960" s="1006"/>
      <c r="AH960" s="1006"/>
      <c r="AI960" s="1006"/>
      <c r="AJ960" s="1006"/>
      <c r="AK960" s="1006"/>
      <c r="AL960" s="1006"/>
      <c r="AM960" s="1006"/>
      <c r="AN960" s="1006"/>
      <c r="AO960" s="1006"/>
      <c r="AP960" s="1006"/>
      <c r="AQ960" s="1006"/>
      <c r="AR960" s="1006"/>
      <c r="AS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c r="AA961" s="1006"/>
      <c r="AB961" s="1006"/>
      <c r="AC961" s="1006"/>
      <c r="AD961" s="1006"/>
      <c r="AE961" s="1006"/>
      <c r="AF961" s="1006"/>
      <c r="AG961" s="1006"/>
      <c r="AH961" s="1006"/>
      <c r="AI961" s="1006"/>
      <c r="AJ961" s="1006"/>
      <c r="AK961" s="1006"/>
      <c r="AL961" s="1006"/>
      <c r="AM961" s="1006"/>
      <c r="AN961" s="1006"/>
      <c r="AO961" s="1006"/>
      <c r="AP961" s="1006"/>
      <c r="AQ961" s="1006"/>
      <c r="AR961" s="1006"/>
      <c r="AS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c r="AA962" s="1006"/>
      <c r="AB962" s="1006"/>
      <c r="AC962" s="1006"/>
      <c r="AD962" s="1006"/>
      <c r="AE962" s="1006"/>
      <c r="AF962" s="1006"/>
      <c r="AG962" s="1006"/>
      <c r="AH962" s="1006"/>
      <c r="AI962" s="1006"/>
      <c r="AJ962" s="1006"/>
      <c r="AK962" s="1006"/>
      <c r="AL962" s="1006"/>
      <c r="AM962" s="1006"/>
      <c r="AN962" s="1006"/>
      <c r="AO962" s="1006"/>
      <c r="AP962" s="1006"/>
      <c r="AQ962" s="1006"/>
      <c r="AR962" s="1006"/>
      <c r="AS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c r="AA963" s="1006"/>
      <c r="AB963" s="1006"/>
      <c r="AC963" s="1006"/>
      <c r="AD963" s="1006"/>
      <c r="AE963" s="1006"/>
      <c r="AF963" s="1006"/>
      <c r="AG963" s="1006"/>
      <c r="AH963" s="1006"/>
      <c r="AI963" s="1006"/>
      <c r="AJ963" s="1006"/>
      <c r="AK963" s="1006"/>
      <c r="AL963" s="1006"/>
      <c r="AM963" s="1006"/>
      <c r="AN963" s="1006"/>
      <c r="AO963" s="1006"/>
      <c r="AP963" s="1006"/>
      <c r="AQ963" s="1006"/>
      <c r="AR963" s="1006"/>
      <c r="AS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c r="AA964" s="1006"/>
      <c r="AB964" s="1006"/>
      <c r="AC964" s="1006"/>
      <c r="AD964" s="1006"/>
      <c r="AE964" s="1006"/>
      <c r="AF964" s="1006"/>
      <c r="AG964" s="1006"/>
      <c r="AH964" s="1006"/>
      <c r="AI964" s="1006"/>
      <c r="AJ964" s="1006"/>
      <c r="AK964" s="1006"/>
      <c r="AL964" s="1006"/>
      <c r="AM964" s="1006"/>
      <c r="AN964" s="1006"/>
      <c r="AO964" s="1006"/>
      <c r="AP964" s="1006"/>
      <c r="AQ964" s="1006"/>
      <c r="AR964" s="1006"/>
      <c r="AS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c r="AA965" s="1006"/>
      <c r="AB965" s="1006"/>
      <c r="AC965" s="1006"/>
      <c r="AD965" s="1006"/>
      <c r="AE965" s="1006"/>
      <c r="AF965" s="1006"/>
      <c r="AG965" s="1006"/>
      <c r="AH965" s="1006"/>
      <c r="AI965" s="1006"/>
      <c r="AJ965" s="1006"/>
      <c r="AK965" s="1006"/>
      <c r="AL965" s="1006"/>
      <c r="AM965" s="1006"/>
      <c r="AN965" s="1006"/>
      <c r="AO965" s="1006"/>
      <c r="AP965" s="1006"/>
      <c r="AQ965" s="1006"/>
      <c r="AR965" s="1006"/>
      <c r="AS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c r="AA966" s="1006"/>
      <c r="AB966" s="1006"/>
      <c r="AC966" s="1006"/>
      <c r="AD966" s="1006"/>
      <c r="AE966" s="1006"/>
      <c r="AF966" s="1006"/>
      <c r="AG966" s="1006"/>
      <c r="AH966" s="1006"/>
      <c r="AI966" s="1006"/>
      <c r="AJ966" s="1006"/>
      <c r="AK966" s="1006"/>
      <c r="AL966" s="1006"/>
      <c r="AM966" s="1006"/>
      <c r="AN966" s="1006"/>
      <c r="AO966" s="1006"/>
      <c r="AP966" s="1006"/>
      <c r="AQ966" s="1006"/>
      <c r="AR966" s="1006"/>
      <c r="AS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c r="AA967" s="1006"/>
      <c r="AB967" s="1006"/>
      <c r="AC967" s="1006"/>
      <c r="AD967" s="1006"/>
      <c r="AE967" s="1006"/>
      <c r="AF967" s="1006"/>
      <c r="AG967" s="1006"/>
      <c r="AH967" s="1006"/>
      <c r="AI967" s="1006"/>
      <c r="AJ967" s="1006"/>
      <c r="AK967" s="1006"/>
      <c r="AL967" s="1006"/>
      <c r="AM967" s="1006"/>
      <c r="AN967" s="1006"/>
      <c r="AO967" s="1006"/>
      <c r="AP967" s="1006"/>
      <c r="AQ967" s="1006"/>
      <c r="AR967" s="1006"/>
      <c r="AS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c r="AA968" s="1006"/>
      <c r="AB968" s="1006"/>
      <c r="AC968" s="1006"/>
      <c r="AD968" s="1006"/>
      <c r="AE968" s="1006"/>
      <c r="AF968" s="1006"/>
      <c r="AG968" s="1006"/>
      <c r="AH968" s="1006"/>
      <c r="AI968" s="1006"/>
      <c r="AJ968" s="1006"/>
      <c r="AK968" s="1006"/>
      <c r="AL968" s="1006"/>
      <c r="AM968" s="1006"/>
      <c r="AN968" s="1006"/>
      <c r="AO968" s="1006"/>
      <c r="AP968" s="1006"/>
      <c r="AQ968" s="1006"/>
      <c r="AR968" s="1006"/>
      <c r="AS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c r="AA969" s="1006"/>
      <c r="AB969" s="1006"/>
      <c r="AC969" s="1006"/>
      <c r="AD969" s="1006"/>
      <c r="AE969" s="1006"/>
      <c r="AF969" s="1006"/>
      <c r="AG969" s="1006"/>
      <c r="AH969" s="1006"/>
      <c r="AI969" s="1006"/>
      <c r="AJ969" s="1006"/>
      <c r="AK969" s="1006"/>
      <c r="AL969" s="1006"/>
      <c r="AM969" s="1006"/>
      <c r="AN969" s="1006"/>
      <c r="AO969" s="1006"/>
      <c r="AP969" s="1006"/>
      <c r="AQ969" s="1006"/>
      <c r="AR969" s="1006"/>
      <c r="AS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c r="AA970" s="1006"/>
      <c r="AB970" s="1006"/>
      <c r="AC970" s="1006"/>
      <c r="AD970" s="1006"/>
      <c r="AE970" s="1006"/>
      <c r="AF970" s="1006"/>
      <c r="AG970" s="1006"/>
      <c r="AH970" s="1006"/>
      <c r="AI970" s="1006"/>
      <c r="AJ970" s="1006"/>
      <c r="AK970" s="1006"/>
      <c r="AL970" s="1006"/>
      <c r="AM970" s="1006"/>
      <c r="AN970" s="1006"/>
      <c r="AO970" s="1006"/>
      <c r="AP970" s="1006"/>
      <c r="AQ970" s="1006"/>
      <c r="AR970" s="1006"/>
      <c r="AS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c r="AA971" s="1006"/>
      <c r="AB971" s="1006"/>
      <c r="AC971" s="1006"/>
      <c r="AD971" s="1006"/>
      <c r="AE971" s="1006"/>
      <c r="AF971" s="1006"/>
      <c r="AG971" s="1006"/>
      <c r="AH971" s="1006"/>
      <c r="AI971" s="1006"/>
      <c r="AJ971" s="1006"/>
      <c r="AK971" s="1006"/>
      <c r="AL971" s="1006"/>
      <c r="AM971" s="1006"/>
      <c r="AN971" s="1006"/>
      <c r="AO971" s="1006"/>
      <c r="AP971" s="1006"/>
      <c r="AQ971" s="1006"/>
      <c r="AR971" s="1006"/>
      <c r="AS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c r="AA972" s="1006"/>
      <c r="AB972" s="1006"/>
      <c r="AC972" s="1006"/>
      <c r="AD972" s="1006"/>
      <c r="AE972" s="1006"/>
      <c r="AF972" s="1006"/>
      <c r="AG972" s="1006"/>
      <c r="AH972" s="1006"/>
      <c r="AI972" s="1006"/>
      <c r="AJ972" s="1006"/>
      <c r="AK972" s="1006"/>
      <c r="AL972" s="1006"/>
      <c r="AM972" s="1006"/>
      <c r="AN972" s="1006"/>
      <c r="AO972" s="1006"/>
      <c r="AP972" s="1006"/>
      <c r="AQ972" s="1006"/>
      <c r="AR972" s="1006"/>
      <c r="AS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c r="AA973" s="1006"/>
      <c r="AB973" s="1006"/>
      <c r="AC973" s="1006"/>
      <c r="AD973" s="1006"/>
      <c r="AE973" s="1006"/>
      <c r="AF973" s="1006"/>
      <c r="AG973" s="1006"/>
      <c r="AH973" s="1006"/>
      <c r="AI973" s="1006"/>
      <c r="AJ973" s="1006"/>
      <c r="AK973" s="1006"/>
      <c r="AL973" s="1006"/>
      <c r="AM973" s="1006"/>
      <c r="AN973" s="1006"/>
      <c r="AO973" s="1006"/>
      <c r="AP973" s="1006"/>
      <c r="AQ973" s="1006"/>
      <c r="AR973" s="1006"/>
      <c r="AS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c r="AA974" s="1006"/>
      <c r="AB974" s="1006"/>
      <c r="AC974" s="1006"/>
      <c r="AD974" s="1006"/>
      <c r="AE974" s="1006"/>
      <c r="AF974" s="1006"/>
      <c r="AG974" s="1006"/>
      <c r="AH974" s="1006"/>
      <c r="AI974" s="1006"/>
      <c r="AJ974" s="1006"/>
      <c r="AK974" s="1006"/>
      <c r="AL974" s="1006"/>
      <c r="AM974" s="1006"/>
      <c r="AN974" s="1006"/>
      <c r="AO974" s="1006"/>
      <c r="AP974" s="1006"/>
      <c r="AQ974" s="1006"/>
      <c r="AR974" s="1006"/>
      <c r="AS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c r="AA975" s="1006"/>
      <c r="AB975" s="1006"/>
      <c r="AC975" s="1006"/>
      <c r="AD975" s="1006"/>
      <c r="AE975" s="1006"/>
      <c r="AF975" s="1006"/>
      <c r="AG975" s="1006"/>
      <c r="AH975" s="1006"/>
      <c r="AI975" s="1006"/>
      <c r="AJ975" s="1006"/>
      <c r="AK975" s="1006"/>
      <c r="AL975" s="1006"/>
      <c r="AM975" s="1006"/>
      <c r="AN975" s="1006"/>
      <c r="AO975" s="1006"/>
      <c r="AP975" s="1006"/>
      <c r="AQ975" s="1006"/>
      <c r="AR975" s="1006"/>
      <c r="AS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c r="AA976" s="1006"/>
      <c r="AB976" s="1006"/>
      <c r="AC976" s="1006"/>
      <c r="AD976" s="1006"/>
      <c r="AE976" s="1006"/>
      <c r="AF976" s="1006"/>
      <c r="AG976" s="1006"/>
      <c r="AH976" s="1006"/>
      <c r="AI976" s="1006"/>
      <c r="AJ976" s="1006"/>
      <c r="AK976" s="1006"/>
      <c r="AL976" s="1006"/>
      <c r="AM976" s="1006"/>
      <c r="AN976" s="1006"/>
      <c r="AO976" s="1006"/>
      <c r="AP976" s="1006"/>
      <c r="AQ976" s="1006"/>
      <c r="AR976" s="1006"/>
      <c r="AS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c r="AA977" s="1006"/>
      <c r="AB977" s="1006"/>
      <c r="AC977" s="1006"/>
      <c r="AD977" s="1006"/>
      <c r="AE977" s="1006"/>
      <c r="AF977" s="1006"/>
      <c r="AG977" s="1006"/>
      <c r="AH977" s="1006"/>
      <c r="AI977" s="1006"/>
      <c r="AJ977" s="1006"/>
      <c r="AK977" s="1006"/>
      <c r="AL977" s="1006"/>
      <c r="AM977" s="1006"/>
      <c r="AN977" s="1006"/>
      <c r="AO977" s="1006"/>
      <c r="AP977" s="1006"/>
      <c r="AQ977" s="1006"/>
      <c r="AR977" s="1006"/>
      <c r="AS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c r="AA978" s="1006"/>
      <c r="AB978" s="1006"/>
      <c r="AC978" s="1006"/>
      <c r="AD978" s="1006"/>
      <c r="AE978" s="1006"/>
      <c r="AF978" s="1006"/>
      <c r="AG978" s="1006"/>
      <c r="AH978" s="1006"/>
      <c r="AI978" s="1006"/>
      <c r="AJ978" s="1006"/>
      <c r="AK978" s="1006"/>
      <c r="AL978" s="1006"/>
      <c r="AM978" s="1006"/>
      <c r="AN978" s="1006"/>
      <c r="AO978" s="1006"/>
      <c r="AP978" s="1006"/>
      <c r="AQ978" s="1006"/>
      <c r="AR978" s="1006"/>
      <c r="AS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c r="AA979" s="1006"/>
      <c r="AB979" s="1006"/>
      <c r="AC979" s="1006"/>
      <c r="AD979" s="1006"/>
      <c r="AE979" s="1006"/>
      <c r="AF979" s="1006"/>
      <c r="AG979" s="1006"/>
      <c r="AH979" s="1006"/>
      <c r="AI979" s="1006"/>
      <c r="AJ979" s="1006"/>
      <c r="AK979" s="1006"/>
      <c r="AL979" s="1006"/>
      <c r="AM979" s="1006"/>
      <c r="AN979" s="1006"/>
      <c r="AO979" s="1006"/>
      <c r="AP979" s="1006"/>
      <c r="AQ979" s="1006"/>
      <c r="AR979" s="1006"/>
      <c r="AS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c r="AA980" s="1006"/>
      <c r="AB980" s="1006"/>
      <c r="AC980" s="1006"/>
      <c r="AD980" s="1006"/>
      <c r="AE980" s="1006"/>
      <c r="AF980" s="1006"/>
      <c r="AG980" s="1006"/>
      <c r="AH980" s="1006"/>
      <c r="AI980" s="1006"/>
      <c r="AJ980" s="1006"/>
      <c r="AK980" s="1006"/>
      <c r="AL980" s="1006"/>
      <c r="AM980" s="1006"/>
      <c r="AN980" s="1006"/>
      <c r="AO980" s="1006"/>
      <c r="AP980" s="1006"/>
      <c r="AQ980" s="1006"/>
      <c r="AR980" s="1006"/>
      <c r="AS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c r="AA981" s="1006"/>
      <c r="AB981" s="1006"/>
      <c r="AC981" s="1006"/>
      <c r="AD981" s="1006"/>
      <c r="AE981" s="1006"/>
      <c r="AF981" s="1006"/>
      <c r="AG981" s="1006"/>
      <c r="AH981" s="1006"/>
      <c r="AI981" s="1006"/>
      <c r="AJ981" s="1006"/>
      <c r="AK981" s="1006"/>
      <c r="AL981" s="1006"/>
      <c r="AM981" s="1006"/>
      <c r="AN981" s="1006"/>
      <c r="AO981" s="1006"/>
      <c r="AP981" s="1006"/>
      <c r="AQ981" s="1006"/>
      <c r="AR981" s="1006"/>
      <c r="AS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c r="AA982" s="1006"/>
      <c r="AB982" s="1006"/>
      <c r="AC982" s="1006"/>
      <c r="AD982" s="1006"/>
      <c r="AE982" s="1006"/>
      <c r="AF982" s="1006"/>
      <c r="AG982" s="1006"/>
      <c r="AH982" s="1006"/>
      <c r="AI982" s="1006"/>
      <c r="AJ982" s="1006"/>
      <c r="AK982" s="1006"/>
      <c r="AL982" s="1006"/>
      <c r="AM982" s="1006"/>
      <c r="AN982" s="1006"/>
      <c r="AO982" s="1006"/>
      <c r="AP982" s="1006"/>
      <c r="AQ982" s="1006"/>
      <c r="AR982" s="1006"/>
      <c r="AS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c r="AA983" s="1006"/>
      <c r="AB983" s="1006"/>
      <c r="AC983" s="1006"/>
      <c r="AD983" s="1006"/>
      <c r="AE983" s="1006"/>
      <c r="AF983" s="1006"/>
      <c r="AG983" s="1006"/>
      <c r="AH983" s="1006"/>
      <c r="AI983" s="1006"/>
      <c r="AJ983" s="1006"/>
      <c r="AK983" s="1006"/>
      <c r="AL983" s="1006"/>
      <c r="AM983" s="1006"/>
      <c r="AN983" s="1006"/>
      <c r="AO983" s="1006"/>
      <c r="AP983" s="1006"/>
      <c r="AQ983" s="1006"/>
      <c r="AR983" s="1006"/>
      <c r="AS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c r="AA984" s="1006"/>
      <c r="AB984" s="1006"/>
      <c r="AC984" s="1006"/>
      <c r="AD984" s="1006"/>
      <c r="AE984" s="1006"/>
      <c r="AF984" s="1006"/>
      <c r="AG984" s="1006"/>
      <c r="AH984" s="1006"/>
      <c r="AI984" s="1006"/>
      <c r="AJ984" s="1006"/>
      <c r="AK984" s="1006"/>
      <c r="AL984" s="1006"/>
      <c r="AM984" s="1006"/>
      <c r="AN984" s="1006"/>
      <c r="AO984" s="1006"/>
      <c r="AP984" s="1006"/>
      <c r="AQ984" s="1006"/>
      <c r="AR984" s="1006"/>
      <c r="AS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c r="AA985" s="1006"/>
      <c r="AB985" s="1006"/>
      <c r="AC985" s="1006"/>
      <c r="AD985" s="1006"/>
      <c r="AE985" s="1006"/>
      <c r="AF985" s="1006"/>
      <c r="AG985" s="1006"/>
      <c r="AH985" s="1006"/>
      <c r="AI985" s="1006"/>
      <c r="AJ985" s="1006"/>
      <c r="AK985" s="1006"/>
      <c r="AL985" s="1006"/>
      <c r="AM985" s="1006"/>
      <c r="AN985" s="1006"/>
      <c r="AO985" s="1006"/>
      <c r="AP985" s="1006"/>
      <c r="AQ985" s="1006"/>
      <c r="AR985" s="1006"/>
      <c r="AS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c r="AA986" s="1006"/>
      <c r="AB986" s="1006"/>
      <c r="AC986" s="1006"/>
      <c r="AD986" s="1006"/>
      <c r="AE986" s="1006"/>
      <c r="AF986" s="1006"/>
      <c r="AG986" s="1006"/>
      <c r="AH986" s="1006"/>
      <c r="AI986" s="1006"/>
      <c r="AJ986" s="1006"/>
      <c r="AK986" s="1006"/>
      <c r="AL986" s="1006"/>
      <c r="AM986" s="1006"/>
      <c r="AN986" s="1006"/>
      <c r="AO986" s="1006"/>
      <c r="AP986" s="1006"/>
      <c r="AQ986" s="1006"/>
      <c r="AR986" s="1006"/>
      <c r="AS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c r="AA987" s="1006"/>
      <c r="AB987" s="1006"/>
      <c r="AC987" s="1006"/>
      <c r="AD987" s="1006"/>
      <c r="AE987" s="1006"/>
      <c r="AF987" s="1006"/>
      <c r="AG987" s="1006"/>
      <c r="AH987" s="1006"/>
      <c r="AI987" s="1006"/>
      <c r="AJ987" s="1006"/>
      <c r="AK987" s="1006"/>
      <c r="AL987" s="1006"/>
      <c r="AM987" s="1006"/>
      <c r="AN987" s="1006"/>
      <c r="AO987" s="1006"/>
      <c r="AP987" s="1006"/>
      <c r="AQ987" s="1006"/>
      <c r="AR987" s="1006"/>
      <c r="AS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c r="AA988" s="1006"/>
      <c r="AB988" s="1006"/>
      <c r="AC988" s="1006"/>
      <c r="AD988" s="1006"/>
      <c r="AE988" s="1006"/>
      <c r="AF988" s="1006"/>
      <c r="AG988" s="1006"/>
      <c r="AH988" s="1006"/>
      <c r="AI988" s="1006"/>
      <c r="AJ988" s="1006"/>
      <c r="AK988" s="1006"/>
      <c r="AL988" s="1006"/>
      <c r="AM988" s="1006"/>
      <c r="AN988" s="1006"/>
      <c r="AO988" s="1006"/>
      <c r="AP988" s="1006"/>
      <c r="AQ988" s="1006"/>
      <c r="AR988" s="1006"/>
      <c r="AS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c r="AA989" s="1006"/>
      <c r="AB989" s="1006"/>
      <c r="AC989" s="1006"/>
      <c r="AD989" s="1006"/>
      <c r="AE989" s="1006"/>
      <c r="AF989" s="1006"/>
      <c r="AG989" s="1006"/>
      <c r="AH989" s="1006"/>
      <c r="AI989" s="1006"/>
      <c r="AJ989" s="1006"/>
      <c r="AK989" s="1006"/>
      <c r="AL989" s="1006"/>
      <c r="AM989" s="1006"/>
      <c r="AN989" s="1006"/>
      <c r="AO989" s="1006"/>
      <c r="AP989" s="1006"/>
      <c r="AQ989" s="1006"/>
      <c r="AR989" s="1006"/>
      <c r="AS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c r="AA990" s="1006"/>
      <c r="AB990" s="1006"/>
      <c r="AC990" s="1006"/>
      <c r="AD990" s="1006"/>
      <c r="AE990" s="1006"/>
      <c r="AF990" s="1006"/>
      <c r="AG990" s="1006"/>
      <c r="AH990" s="1006"/>
      <c r="AI990" s="1006"/>
      <c r="AJ990" s="1006"/>
      <c r="AK990" s="1006"/>
      <c r="AL990" s="1006"/>
      <c r="AM990" s="1006"/>
      <c r="AN990" s="1006"/>
      <c r="AO990" s="1006"/>
      <c r="AP990" s="1006"/>
      <c r="AQ990" s="1006"/>
      <c r="AR990" s="1006"/>
      <c r="AS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c r="AA991" s="1006"/>
      <c r="AB991" s="1006"/>
      <c r="AC991" s="1006"/>
      <c r="AD991" s="1006"/>
      <c r="AE991" s="1006"/>
      <c r="AF991" s="1006"/>
      <c r="AG991" s="1006"/>
      <c r="AH991" s="1006"/>
      <c r="AI991" s="1006"/>
      <c r="AJ991" s="1006"/>
      <c r="AK991" s="1006"/>
      <c r="AL991" s="1006"/>
      <c r="AM991" s="1006"/>
      <c r="AN991" s="1006"/>
      <c r="AO991" s="1006"/>
      <c r="AP991" s="1006"/>
      <c r="AQ991" s="1006"/>
      <c r="AR991" s="1006"/>
      <c r="AS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c r="AA992" s="1006"/>
      <c r="AB992" s="1006"/>
      <c r="AC992" s="1006"/>
      <c r="AD992" s="1006"/>
      <c r="AE992" s="1006"/>
      <c r="AF992" s="1006"/>
      <c r="AG992" s="1006"/>
      <c r="AH992" s="1006"/>
      <c r="AI992" s="1006"/>
      <c r="AJ992" s="1006"/>
      <c r="AK992" s="1006"/>
      <c r="AL992" s="1006"/>
      <c r="AM992" s="1006"/>
      <c r="AN992" s="1006"/>
      <c r="AO992" s="1006"/>
      <c r="AP992" s="1006"/>
      <c r="AQ992" s="1006"/>
      <c r="AR992" s="1006"/>
      <c r="AS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c r="AA993" s="1006"/>
      <c r="AB993" s="1006"/>
      <c r="AC993" s="1006"/>
      <c r="AD993" s="1006"/>
      <c r="AE993" s="1006"/>
      <c r="AF993" s="1006"/>
      <c r="AG993" s="1006"/>
      <c r="AH993" s="1006"/>
      <c r="AI993" s="1006"/>
      <c r="AJ993" s="1006"/>
      <c r="AK993" s="1006"/>
      <c r="AL993" s="1006"/>
      <c r="AM993" s="1006"/>
      <c r="AN993" s="1006"/>
      <c r="AO993" s="1006"/>
      <c r="AP993" s="1006"/>
      <c r="AQ993" s="1006"/>
      <c r="AR993" s="1006"/>
      <c r="AS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c r="AA994" s="1006"/>
      <c r="AB994" s="1006"/>
      <c r="AC994" s="1006"/>
      <c r="AD994" s="1006"/>
      <c r="AE994" s="1006"/>
      <c r="AF994" s="1006"/>
      <c r="AG994" s="1006"/>
      <c r="AH994" s="1006"/>
      <c r="AI994" s="1006"/>
      <c r="AJ994" s="1006"/>
      <c r="AK994" s="1006"/>
      <c r="AL994" s="1006"/>
      <c r="AM994" s="1006"/>
      <c r="AN994" s="1006"/>
      <c r="AO994" s="1006"/>
      <c r="AP994" s="1006"/>
      <c r="AQ994" s="1006"/>
      <c r="AR994" s="1006"/>
      <c r="AS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c r="AA995" s="1006"/>
      <c r="AB995" s="1006"/>
      <c r="AC995" s="1006"/>
      <c r="AD995" s="1006"/>
      <c r="AE995" s="1006"/>
      <c r="AF995" s="1006"/>
      <c r="AG995" s="1006"/>
      <c r="AH995" s="1006"/>
      <c r="AI995" s="1006"/>
      <c r="AJ995" s="1006"/>
      <c r="AK995" s="1006"/>
      <c r="AL995" s="1006"/>
      <c r="AM995" s="1006"/>
      <c r="AN995" s="1006"/>
      <c r="AO995" s="1006"/>
      <c r="AP995" s="1006"/>
      <c r="AQ995" s="1006"/>
      <c r="AR995" s="1006"/>
      <c r="AS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c r="AA996" s="1006"/>
      <c r="AB996" s="1006"/>
      <c r="AC996" s="1006"/>
      <c r="AD996" s="1006"/>
      <c r="AE996" s="1006"/>
      <c r="AF996" s="1006"/>
      <c r="AG996" s="1006"/>
      <c r="AH996" s="1006"/>
      <c r="AI996" s="1006"/>
      <c r="AJ996" s="1006"/>
      <c r="AK996" s="1006"/>
      <c r="AL996" s="1006"/>
      <c r="AM996" s="1006"/>
      <c r="AN996" s="1006"/>
      <c r="AO996" s="1006"/>
      <c r="AP996" s="1006"/>
      <c r="AQ996" s="1006"/>
      <c r="AR996" s="1006"/>
      <c r="AS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c r="AA997" s="1006"/>
      <c r="AB997" s="1006"/>
      <c r="AC997" s="1006"/>
      <c r="AD997" s="1006"/>
      <c r="AE997" s="1006"/>
      <c r="AF997" s="1006"/>
      <c r="AG997" s="1006"/>
      <c r="AH997" s="1006"/>
      <c r="AI997" s="1006"/>
      <c r="AJ997" s="1006"/>
      <c r="AK997" s="1006"/>
      <c r="AL997" s="1006"/>
      <c r="AM997" s="1006"/>
      <c r="AN997" s="1006"/>
      <c r="AO997" s="1006"/>
      <c r="AP997" s="1006"/>
      <c r="AQ997" s="1006"/>
      <c r="AR997" s="1006"/>
      <c r="AS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c r="AA998" s="1006"/>
      <c r="AB998" s="1006"/>
      <c r="AC998" s="1006"/>
      <c r="AD998" s="1006"/>
      <c r="AE998" s="1006"/>
      <c r="AF998" s="1006"/>
      <c r="AG998" s="1006"/>
      <c r="AH998" s="1006"/>
      <c r="AI998" s="1006"/>
      <c r="AJ998" s="1006"/>
      <c r="AK998" s="1006"/>
      <c r="AL998" s="1006"/>
      <c r="AM998" s="1006"/>
      <c r="AN998" s="1006"/>
      <c r="AO998" s="1006"/>
      <c r="AP998" s="1006"/>
      <c r="AQ998" s="1006"/>
      <c r="AR998" s="1006"/>
      <c r="AS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c r="AA999" s="1006"/>
      <c r="AB999" s="1006"/>
      <c r="AC999" s="1006"/>
      <c r="AD999" s="1006"/>
      <c r="AE999" s="1006"/>
      <c r="AF999" s="1006"/>
      <c r="AG999" s="1006"/>
      <c r="AH999" s="1006"/>
      <c r="AI999" s="1006"/>
      <c r="AJ999" s="1006"/>
      <c r="AK999" s="1006"/>
      <c r="AL999" s="1006"/>
      <c r="AM999" s="1006"/>
      <c r="AN999" s="1006"/>
      <c r="AO999" s="1006"/>
      <c r="AP999" s="1006"/>
      <c r="AQ999" s="1006"/>
      <c r="AR999" s="1006"/>
      <c r="AS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c r="AA1000" s="1006"/>
      <c r="AB1000" s="1006"/>
      <c r="AC1000" s="1006"/>
      <c r="AD1000" s="1006"/>
      <c r="AE1000" s="1006"/>
      <c r="AF1000" s="1006"/>
      <c r="AG1000" s="1006"/>
      <c r="AH1000" s="1006"/>
      <c r="AI1000" s="1006"/>
      <c r="AJ1000" s="1006"/>
      <c r="AK1000" s="1006"/>
      <c r="AL1000" s="1006"/>
      <c r="AM1000" s="1006"/>
      <c r="AN1000" s="1006"/>
      <c r="AO1000" s="1006"/>
      <c r="AP1000" s="1006"/>
      <c r="AQ1000" s="1006"/>
      <c r="AR1000" s="1006"/>
      <c r="AS1000" s="1006"/>
    </row>
  </sheetData>
  <printOptions/>
  <pageMargins bottom="0.75" footer="0.0" header="0.0" left="0.7" right="0.7" top="0.75"/>
  <pageSetup orientation="portrait"/>
  <drawing r:id="rId2"/>
  <legacyDrawing r:id="rId3"/>
</worksheet>
</file>