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IAI\2023\"/>
    </mc:Choice>
  </mc:AlternateContent>
  <xr:revisionPtr revIDLastSave="0" documentId="13_ncr:1_{73A17646-C8C8-4ECA-BD9B-9B66CD2237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-EXP" sheetId="1" r:id="rId1"/>
    <sheet name="UM" sheetId="2" r:id="rId2"/>
    <sheet name="RINCIAN" sheetId="3" r:id="rId3"/>
  </sheets>
  <definedNames>
    <definedName name="_xlnm._FilterDatabase" localSheetId="0" hidden="1">'AR-EXP'!$A$5:$I$468</definedName>
    <definedName name="_xlnm.Print_Area" localSheetId="0">'AR-EXP'!$A$120:$I$132</definedName>
    <definedName name="_xlnm.Print_Area" localSheetId="1">UM!$A$299:$I$312</definedName>
    <definedName name="_xlnm.Print_Titles" localSheetId="0">'AR-EXP'!$1:$5</definedName>
    <definedName name="_xlnm.Print_Titles" localSheetId="1">UM!$1:$5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8" i="1" l="1"/>
  <c r="E740" i="3"/>
  <c r="H299" i="2"/>
  <c r="I295" i="2"/>
  <c r="H295" i="2"/>
  <c r="I294" i="2"/>
  <c r="H294" i="2"/>
  <c r="I293" i="2"/>
  <c r="H293" i="2"/>
  <c r="E708" i="3"/>
  <c r="E113" i="1"/>
  <c r="I7" i="1" l="1"/>
  <c r="I8" i="1" s="1"/>
  <c r="I9" i="1" s="1"/>
  <c r="I10" i="1" s="1"/>
  <c r="I11" i="1" s="1"/>
  <c r="I12" i="1" s="1"/>
  <c r="I13" i="1" s="1"/>
  <c r="E110" i="3"/>
  <c r="E172" i="1"/>
  <c r="G89" i="3"/>
  <c r="G267" i="1"/>
  <c r="H7" i="1"/>
  <c r="H8" i="1" s="1"/>
  <c r="I376" i="3"/>
  <c r="H376" i="3"/>
  <c r="G46" i="1"/>
  <c r="G339" i="3" l="1"/>
  <c r="H766" i="3"/>
  <c r="H767" i="3" s="1"/>
  <c r="H768" i="3" s="1"/>
  <c r="I526" i="3"/>
  <c r="I527" i="3" s="1"/>
  <c r="H526" i="3"/>
  <c r="H527" i="3" s="1"/>
  <c r="H528" i="3" s="1"/>
  <c r="G129" i="1"/>
  <c r="H9" i="1" l="1"/>
  <c r="H529" i="3"/>
  <c r="H530" i="3" s="1"/>
  <c r="I528" i="3"/>
  <c r="I529" i="3" s="1"/>
  <c r="I530" i="3" s="1"/>
  <c r="E420" i="3"/>
  <c r="F432" i="3" l="1"/>
  <c r="I416" i="3"/>
  <c r="I417" i="3" s="1"/>
  <c r="H416" i="3"/>
  <c r="H417" i="3" s="1"/>
  <c r="I8" i="3"/>
  <c r="H8" i="3"/>
  <c r="G403" i="3"/>
  <c r="F403" i="3"/>
  <c r="I14" i="1" l="1"/>
  <c r="I15" i="1" s="1"/>
  <c r="I16" i="1" s="1"/>
  <c r="I17" i="1" s="1"/>
  <c r="I18" i="1" s="1"/>
  <c r="I19" i="1" s="1"/>
  <c r="I20" i="1" s="1"/>
  <c r="I21" i="1" s="1"/>
  <c r="I22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G242" i="3"/>
  <c r="G222" i="3" l="1"/>
  <c r="F222" i="3"/>
  <c r="G407" i="3"/>
  <c r="F407" i="3"/>
  <c r="F413" i="3" s="1"/>
  <c r="F419" i="1"/>
  <c r="G443" i="1" l="1"/>
  <c r="G337" i="3"/>
  <c r="G235" i="3"/>
  <c r="G150" i="3"/>
  <c r="F150" i="3"/>
  <c r="I474" i="3"/>
  <c r="H474" i="3"/>
  <c r="G204" i="3"/>
  <c r="F204" i="3"/>
  <c r="F330" i="3"/>
  <c r="F287" i="3"/>
  <c r="G287" i="3"/>
  <c r="G293" i="3"/>
  <c r="F293" i="3"/>
  <c r="G189" i="3"/>
  <c r="F189" i="3"/>
  <c r="G182" i="3"/>
  <c r="F182" i="3"/>
  <c r="G386" i="1"/>
  <c r="E215" i="3"/>
  <c r="G323" i="3"/>
  <c r="G309" i="3"/>
  <c r="F309" i="3"/>
  <c r="G436" i="3"/>
  <c r="F436" i="3"/>
  <c r="G343" i="1"/>
  <c r="F343" i="1"/>
  <c r="G321" i="1"/>
  <c r="F129" i="3"/>
  <c r="G129" i="3"/>
  <c r="G665" i="3"/>
  <c r="F665" i="3"/>
  <c r="H665" i="3" s="1"/>
  <c r="H666" i="3" s="1"/>
  <c r="H667" i="3" s="1"/>
  <c r="H668" i="3" s="1"/>
  <c r="G295" i="1"/>
  <c r="F295" i="1"/>
  <c r="G553" i="3"/>
  <c r="F553" i="3"/>
  <c r="G158" i="3"/>
  <c r="J775" i="3"/>
  <c r="I766" i="3"/>
  <c r="I767" i="3" s="1"/>
  <c r="I768" i="3" s="1"/>
  <c r="G103" i="3"/>
  <c r="F103" i="3"/>
  <c r="G680" i="3"/>
  <c r="F680" i="3"/>
  <c r="H680" i="3" s="1"/>
  <c r="H681" i="3" s="1"/>
  <c r="H682" i="3" s="1"/>
  <c r="H683" i="3" s="1"/>
  <c r="H684" i="3" s="1"/>
  <c r="K775" i="3"/>
  <c r="H270" i="1" l="1"/>
  <c r="H472" i="1"/>
  <c r="I270" i="1"/>
  <c r="I472" i="1"/>
  <c r="I446" i="1"/>
  <c r="H446" i="1"/>
  <c r="I390" i="1"/>
  <c r="H390" i="1"/>
  <c r="I363" i="1"/>
  <c r="H363" i="1"/>
  <c r="I324" i="1"/>
  <c r="H324" i="1"/>
  <c r="H669" i="3"/>
  <c r="H685" i="3"/>
  <c r="H686" i="3" s="1"/>
  <c r="H687" i="3" s="1"/>
  <c r="E124" i="3"/>
  <c r="E716" i="3"/>
  <c r="G74" i="3"/>
  <c r="F74" i="3"/>
  <c r="G301" i="3"/>
  <c r="F301" i="3"/>
  <c r="G64" i="3"/>
  <c r="F64" i="3"/>
  <c r="G677" i="3"/>
  <c r="F677" i="3"/>
  <c r="F674" i="3"/>
  <c r="F496" i="3"/>
  <c r="G496" i="3"/>
  <c r="H540" i="3"/>
  <c r="H541" i="3" s="1"/>
  <c r="H542" i="3" s="1"/>
  <c r="H543" i="3" s="1"/>
  <c r="H544" i="3" s="1"/>
  <c r="H545" i="3" s="1"/>
  <c r="H546" i="3" s="1"/>
  <c r="H547" i="3" s="1"/>
  <c r="I750" i="3"/>
  <c r="I751" i="3" s="1"/>
  <c r="I752" i="3" s="1"/>
  <c r="I753" i="3" s="1"/>
  <c r="I754" i="3" s="1"/>
  <c r="I755" i="3" s="1"/>
  <c r="H750" i="3"/>
  <c r="H751" i="3" s="1"/>
  <c r="H752" i="3" s="1"/>
  <c r="H753" i="3" s="1"/>
  <c r="H754" i="3" s="1"/>
  <c r="H755" i="3" s="1"/>
  <c r="H548" i="3" l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G57" i="3"/>
  <c r="F57" i="3"/>
  <c r="I618" i="3"/>
  <c r="I619" i="3" s="1"/>
  <c r="I620" i="3" s="1"/>
  <c r="I621" i="3" s="1"/>
  <c r="I622" i="3" s="1"/>
  <c r="I623" i="3" s="1"/>
  <c r="I624" i="3" s="1"/>
  <c r="I625" i="3" s="1"/>
  <c r="I626" i="3" s="1"/>
  <c r="I627" i="3" s="1"/>
  <c r="H618" i="3"/>
  <c r="H619" i="3" s="1"/>
  <c r="H620" i="3" s="1"/>
  <c r="H621" i="3" s="1"/>
  <c r="H622" i="3" s="1"/>
  <c r="H623" i="3" s="1"/>
  <c r="H624" i="3" s="1"/>
  <c r="H625" i="3" s="1"/>
  <c r="H626" i="3" s="1"/>
  <c r="H627" i="3" s="1"/>
  <c r="F487" i="3" l="1"/>
  <c r="G487" i="3"/>
  <c r="D413" i="3"/>
  <c r="F36" i="3"/>
  <c r="G36" i="3"/>
  <c r="G678" i="3" l="1"/>
  <c r="I377" i="3"/>
  <c r="I378" i="3" s="1"/>
  <c r="I379" i="3" s="1"/>
  <c r="I380" i="3" s="1"/>
  <c r="I381" i="3" s="1"/>
  <c r="H377" i="3"/>
  <c r="H378" i="3" s="1"/>
  <c r="H379" i="3" s="1"/>
  <c r="H380" i="3" s="1"/>
  <c r="H381" i="3" s="1"/>
  <c r="H225" i="2"/>
  <c r="H226" i="2" s="1"/>
  <c r="H227" i="2" s="1"/>
  <c r="H228" i="2" s="1"/>
  <c r="I540" i="3"/>
  <c r="I541" i="3" s="1"/>
  <c r="I542" i="3" s="1"/>
  <c r="I543" i="3" s="1"/>
  <c r="I544" i="3" s="1"/>
  <c r="I545" i="3" s="1"/>
  <c r="I546" i="3" s="1"/>
  <c r="I547" i="3" s="1"/>
  <c r="G26" i="3"/>
  <c r="F26" i="3"/>
  <c r="D247" i="2"/>
  <c r="I493" i="3"/>
  <c r="I494" i="3" s="1"/>
  <c r="I495" i="3" s="1"/>
  <c r="H493" i="3"/>
  <c r="H494" i="3" s="1"/>
  <c r="H495" i="3" s="1"/>
  <c r="H496" i="3" s="1"/>
  <c r="H497" i="3" s="1"/>
  <c r="H498" i="3" s="1"/>
  <c r="H499" i="3" s="1"/>
  <c r="H382" i="3" l="1"/>
  <c r="H383" i="3" s="1"/>
  <c r="H384" i="3" s="1"/>
  <c r="H385" i="3" s="1"/>
  <c r="H386" i="3" s="1"/>
  <c r="I382" i="3"/>
  <c r="I383" i="3" s="1"/>
  <c r="I384" i="3" s="1"/>
  <c r="I385" i="3" s="1"/>
  <c r="I386" i="3" s="1"/>
  <c r="H229" i="2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I548" i="3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496" i="3"/>
  <c r="I497" i="3" s="1"/>
  <c r="I498" i="3" s="1"/>
  <c r="I225" i="2"/>
  <c r="I226" i="2" s="1"/>
  <c r="I227" i="2" s="1"/>
  <c r="I228" i="2" s="1"/>
  <c r="I680" i="3"/>
  <c r="I681" i="3" s="1"/>
  <c r="I682" i="3" s="1"/>
  <c r="I683" i="3" s="1"/>
  <c r="I684" i="3" s="1"/>
  <c r="H688" i="3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272" i="2" l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6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728" i="3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I229" i="2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685" i="3"/>
  <c r="H500" i="3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I499" i="3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418" i="3"/>
  <c r="H418" i="3"/>
  <c r="H419" i="3" s="1"/>
  <c r="H420" i="3" s="1"/>
  <c r="H421" i="3" s="1"/>
  <c r="I274" i="3"/>
  <c r="H274" i="3"/>
  <c r="I686" i="3" l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241" i="2"/>
  <c r="H422" i="3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315" i="2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I419" i="3"/>
  <c r="I420" i="3" s="1"/>
  <c r="I421" i="3" s="1"/>
  <c r="I242" i="2" l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H434" i="3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I422" i="3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34" i="3"/>
  <c r="I35" i="3" s="1"/>
  <c r="I36" i="3" s="1"/>
  <c r="I37" i="3" s="1"/>
  <c r="I38" i="3" s="1"/>
  <c r="I39" i="3" s="1"/>
  <c r="H34" i="3"/>
  <c r="H35" i="3" s="1"/>
  <c r="H36" i="3" s="1"/>
  <c r="H37" i="3" s="1"/>
  <c r="H38" i="3" s="1"/>
  <c r="H39" i="3" s="1"/>
  <c r="I272" i="2" l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6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6" i="2" s="1"/>
  <c r="I434" i="3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0" i="3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H40" i="3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I665" i="3"/>
  <c r="F613" i="3"/>
  <c r="G23" i="3"/>
  <c r="G20" i="3"/>
  <c r="G699" i="3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F23" i="3"/>
  <c r="G23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F23" i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F20" i="3"/>
  <c r="E190" i="2"/>
  <c r="I728" i="3" l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48" i="1"/>
  <c r="I52" i="1"/>
  <c r="H46" i="1"/>
  <c r="H52" i="1" s="1"/>
  <c r="I666" i="3"/>
  <c r="I667" i="3" s="1"/>
  <c r="I668" i="3" s="1"/>
  <c r="I669" i="3" s="1"/>
  <c r="I670" i="3" s="1"/>
  <c r="I671" i="3" s="1"/>
  <c r="I672" i="3" s="1"/>
  <c r="I673" i="3" s="1"/>
  <c r="I674" i="3" s="1"/>
  <c r="I337" i="2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5" i="2" s="1"/>
  <c r="I356" i="2" s="1"/>
  <c r="I357" i="2" s="1"/>
  <c r="I358" i="2" s="1"/>
  <c r="I359" i="2" s="1"/>
  <c r="I360" i="2" s="1"/>
  <c r="I361" i="2" s="1"/>
  <c r="I362" i="2" s="1"/>
  <c r="I363" i="2" s="1"/>
  <c r="H336" i="2"/>
  <c r="H51" i="3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I51" i="3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H613" i="3"/>
  <c r="H614" i="3" s="1"/>
  <c r="F676" i="3"/>
  <c r="F672" i="3"/>
  <c r="F670" i="3"/>
  <c r="H670" i="3" s="1"/>
  <c r="H671" i="3" s="1"/>
  <c r="D190" i="2"/>
  <c r="G470" i="3"/>
  <c r="F470" i="3"/>
  <c r="G468" i="3"/>
  <c r="F468" i="3"/>
  <c r="F485" i="3"/>
  <c r="H485" i="3" s="1"/>
  <c r="H486" i="3" s="1"/>
  <c r="H487" i="3" s="1"/>
  <c r="H488" i="3" s="1"/>
  <c r="G485" i="3"/>
  <c r="I485" i="3" s="1"/>
  <c r="I486" i="3" s="1"/>
  <c r="I487" i="3" s="1"/>
  <c r="I488" i="3" s="1"/>
  <c r="I364" i="2" l="1"/>
  <c r="I365" i="2" s="1"/>
  <c r="I366" i="2" s="1"/>
  <c r="I367" i="2" s="1"/>
  <c r="I368" i="2" s="1"/>
  <c r="I369" i="2" s="1"/>
  <c r="I370" i="2" s="1"/>
  <c r="I371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4" i="2" s="1"/>
  <c r="I415" i="2" s="1"/>
  <c r="I416" i="2" s="1"/>
  <c r="I417" i="2" s="1"/>
  <c r="I418" i="2" s="1"/>
  <c r="I419" i="2" s="1"/>
  <c r="I420" i="2" s="1"/>
  <c r="I421" i="2" s="1"/>
  <c r="I422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8" i="2" s="1"/>
  <c r="I449" i="2" s="1"/>
  <c r="I450" i="2" s="1"/>
  <c r="I451" i="2" s="1"/>
  <c r="I452" i="2" s="1"/>
  <c r="I453" i="2" s="1"/>
  <c r="H337" i="2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5" i="2" s="1"/>
  <c r="H356" i="2" s="1"/>
  <c r="H357" i="2" s="1"/>
  <c r="H358" i="2" s="1"/>
  <c r="H359" i="2" s="1"/>
  <c r="H360" i="2" s="1"/>
  <c r="H361" i="2" s="1"/>
  <c r="H362" i="2" s="1"/>
  <c r="I65" i="3"/>
  <c r="I66" i="3" s="1"/>
  <c r="I67" i="3" s="1"/>
  <c r="I68" i="3" s="1"/>
  <c r="I69" i="3" s="1"/>
  <c r="I675" i="3"/>
  <c r="I676" i="3" s="1"/>
  <c r="I677" i="3" s="1"/>
  <c r="H672" i="3"/>
  <c r="H673" i="3" s="1"/>
  <c r="H64" i="3"/>
  <c r="I395" i="3"/>
  <c r="I396" i="3" s="1"/>
  <c r="I397" i="3" s="1"/>
  <c r="I398" i="3" s="1"/>
  <c r="I399" i="3" s="1"/>
  <c r="I400" i="3" s="1"/>
  <c r="I401" i="3" s="1"/>
  <c r="I402" i="3" s="1"/>
  <c r="I403" i="3" s="1"/>
  <c r="H395" i="3"/>
  <c r="H396" i="3" s="1"/>
  <c r="H397" i="3" s="1"/>
  <c r="H398" i="3" s="1"/>
  <c r="H399" i="3" s="1"/>
  <c r="H400" i="3" s="1"/>
  <c r="H401" i="3" s="1"/>
  <c r="H402" i="3" s="1"/>
  <c r="H403" i="3" s="1"/>
  <c r="I404" i="3" l="1"/>
  <c r="H404" i="3"/>
  <c r="H363" i="2"/>
  <c r="H364" i="2" s="1"/>
  <c r="H365" i="2" s="1"/>
  <c r="H366" i="2" s="1"/>
  <c r="H367" i="2" s="1"/>
  <c r="H368" i="2" s="1"/>
  <c r="H369" i="2" s="1"/>
  <c r="H370" i="2" s="1"/>
  <c r="H371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4" i="2" s="1"/>
  <c r="H415" i="2" s="1"/>
  <c r="H416" i="2" s="1"/>
  <c r="H417" i="2" s="1"/>
  <c r="H418" i="2" s="1"/>
  <c r="H419" i="2" s="1"/>
  <c r="H420" i="2" s="1"/>
  <c r="H421" i="2" s="1"/>
  <c r="H422" i="2" s="1"/>
  <c r="H426" i="2" s="1"/>
  <c r="H427" i="2" s="1"/>
  <c r="H428" i="2" s="1"/>
  <c r="H429" i="2" s="1"/>
  <c r="H430" i="2" s="1"/>
  <c r="H431" i="2" s="1"/>
  <c r="H65" i="3"/>
  <c r="H66" i="3" s="1"/>
  <c r="H67" i="3" s="1"/>
  <c r="H68" i="3" s="1"/>
  <c r="H69" i="3" s="1"/>
  <c r="H70" i="3" s="1"/>
  <c r="H71" i="3" s="1"/>
  <c r="H72" i="3" s="1"/>
  <c r="H73" i="3" s="1"/>
  <c r="H674" i="3"/>
  <c r="H675" i="3" s="1"/>
  <c r="H676" i="3" s="1"/>
  <c r="H677" i="3" s="1"/>
  <c r="I70" i="3"/>
  <c r="I71" i="3" s="1"/>
  <c r="I72" i="3" s="1"/>
  <c r="I73" i="3" s="1"/>
  <c r="I74" i="3" s="1"/>
  <c r="I75" i="3" s="1"/>
  <c r="I76" i="3" s="1"/>
  <c r="E193" i="2"/>
  <c r="D193" i="2"/>
  <c r="E192" i="2"/>
  <c r="H405" i="3" l="1"/>
  <c r="H406" i="3" s="1"/>
  <c r="H407" i="3" s="1"/>
  <c r="H408" i="3" s="1"/>
  <c r="H409" i="3" s="1"/>
  <c r="H410" i="3" s="1"/>
  <c r="H411" i="3" s="1"/>
  <c r="I405" i="3"/>
  <c r="I406" i="3" s="1"/>
  <c r="I407" i="3" s="1"/>
  <c r="I408" i="3" s="1"/>
  <c r="I409" i="3" s="1"/>
  <c r="I410" i="3" s="1"/>
  <c r="I411" i="3" s="1"/>
  <c r="H432" i="2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8" i="2" s="1"/>
  <c r="H449" i="2" s="1"/>
  <c r="H450" i="2" s="1"/>
  <c r="H451" i="2" s="1"/>
  <c r="H452" i="2" s="1"/>
  <c r="H453" i="2" s="1"/>
  <c r="I77" i="3"/>
  <c r="I78" i="3" s="1"/>
  <c r="I79" i="3" s="1"/>
  <c r="I80" i="3" s="1"/>
  <c r="H74" i="3"/>
  <c r="E188" i="2"/>
  <c r="F119" i="2"/>
  <c r="H75" i="3" l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I81" i="3"/>
  <c r="I82" i="3" s="1"/>
  <c r="I83" i="3" s="1"/>
  <c r="I84" i="3" s="1"/>
  <c r="I85" i="3" s="1"/>
  <c r="I86" i="3" s="1"/>
  <c r="I87" i="3" s="1"/>
  <c r="I88" i="3" s="1"/>
  <c r="I89" i="3" s="1"/>
  <c r="I90" i="3" s="1"/>
  <c r="L7" i="2"/>
  <c r="H91" i="3" l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I91" i="3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K7" i="2"/>
  <c r="E140" i="2"/>
  <c r="D140" i="2"/>
  <c r="I106" i="3" l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H106" i="3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D139" i="2"/>
  <c r="H130" i="3" l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I130" i="3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L35" i="2"/>
  <c r="K35" i="2"/>
  <c r="I151" i="3" l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H151" i="3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E110" i="2"/>
  <c r="D108" i="2"/>
  <c r="I183" i="3" l="1"/>
  <c r="I184" i="3" s="1"/>
  <c r="I185" i="3" s="1"/>
  <c r="I186" i="3" s="1"/>
  <c r="I187" i="3" s="1"/>
  <c r="I188" i="3" s="1"/>
  <c r="I189" i="3" s="1"/>
  <c r="H183" i="3"/>
  <c r="H184" i="3" s="1"/>
  <c r="H185" i="3" s="1"/>
  <c r="H186" i="3" s="1"/>
  <c r="H187" i="3" s="1"/>
  <c r="H188" i="3" s="1"/>
  <c r="H189" i="3" s="1"/>
  <c r="D57" i="2"/>
  <c r="E70" i="2"/>
  <c r="D70" i="2"/>
  <c r="I190" i="3" l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H190" i="3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L6" i="2"/>
  <c r="K6" i="2"/>
  <c r="L11" i="2"/>
  <c r="K11" i="2"/>
  <c r="E99" i="2"/>
  <c r="D99" i="2"/>
  <c r="I207" i="3" l="1"/>
  <c r="I208" i="3" s="1"/>
  <c r="I209" i="3" s="1"/>
  <c r="I210" i="3" s="1"/>
  <c r="I211" i="3" s="1"/>
  <c r="I212" i="3" s="1"/>
  <c r="I213" i="3" s="1"/>
  <c r="I214" i="3" s="1"/>
  <c r="I215" i="3" s="1"/>
  <c r="I216" i="3" s="1"/>
  <c r="H207" i="3"/>
  <c r="H208" i="3" s="1"/>
  <c r="H209" i="3" s="1"/>
  <c r="H210" i="3" s="1"/>
  <c r="H211" i="3" s="1"/>
  <c r="H212" i="3" s="1"/>
  <c r="H213" i="3" s="1"/>
  <c r="H214" i="3" s="1"/>
  <c r="H215" i="3" s="1"/>
  <c r="H216" i="3" s="1"/>
  <c r="I613" i="3"/>
  <c r="I614" i="3" s="1"/>
  <c r="E57" i="2"/>
  <c r="L9" i="2"/>
  <c r="K9" i="2"/>
  <c r="E59" i="2"/>
  <c r="D59" i="2"/>
  <c r="E8" i="2"/>
  <c r="E7" i="2"/>
  <c r="I7" i="2" s="1"/>
  <c r="D8" i="2"/>
  <c r="D7" i="2"/>
  <c r="H7" i="2" s="1"/>
  <c r="I217" i="3" l="1"/>
  <c r="I218" i="3" s="1"/>
  <c r="I219" i="3" s="1"/>
  <c r="I220" i="3" s="1"/>
  <c r="H217" i="3"/>
  <c r="H218" i="3" s="1"/>
  <c r="H219" i="3" s="1"/>
  <c r="H220" i="3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H8" i="2"/>
  <c r="H9" i="2" s="1"/>
  <c r="H221" i="3" l="1"/>
  <c r="I221" i="3"/>
  <c r="I222" i="3" s="1"/>
  <c r="I223" i="3" s="1"/>
  <c r="I224" i="3" s="1"/>
  <c r="I225" i="3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I226" i="3" l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H222" i="3"/>
  <c r="H223" i="3" s="1"/>
  <c r="H224" i="3" s="1"/>
  <c r="H225" i="3" s="1"/>
  <c r="E34" i="2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K14" i="2"/>
  <c r="J14" i="2"/>
  <c r="O22" i="2"/>
  <c r="H226" i="3" l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I119" i="2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D33" i="2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I138" i="2" l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H119" i="2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L13" i="2"/>
  <c r="K13" i="2"/>
  <c r="I640" i="3"/>
  <c r="I641" i="3" s="1"/>
  <c r="I642" i="3" s="1"/>
  <c r="I643" i="3" s="1"/>
  <c r="I644" i="3" s="1"/>
  <c r="I645" i="3" s="1"/>
  <c r="I646" i="3" s="1"/>
  <c r="I647" i="3" s="1"/>
  <c r="I648" i="3" s="1"/>
  <c r="I649" i="3" s="1"/>
  <c r="H640" i="3"/>
  <c r="H641" i="3" s="1"/>
  <c r="H642" i="3" s="1"/>
  <c r="H643" i="3" s="1"/>
  <c r="H644" i="3" s="1"/>
  <c r="H645" i="3" s="1"/>
  <c r="H646" i="3" s="1"/>
  <c r="H647" i="3" s="1"/>
  <c r="H648" i="3" s="1"/>
  <c r="H649" i="3" s="1"/>
  <c r="I163" i="2" l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H138" i="2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I275" i="3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l="1"/>
  <c r="I291" i="3" s="1"/>
  <c r="I292" i="3" s="1"/>
  <c r="I293" i="3" s="1"/>
  <c r="H275" i="3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I192" i="2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H161" i="2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I294" i="3" l="1"/>
  <c r="I295" i="3" s="1"/>
  <c r="I296" i="3" s="1"/>
  <c r="I297" i="3" s="1"/>
  <c r="I298" i="3" s="1"/>
  <c r="I299" i="3" s="1"/>
  <c r="I300" i="3" s="1"/>
  <c r="I301" i="3" s="1"/>
  <c r="I302" i="3" s="1"/>
  <c r="I303" i="3" s="1"/>
  <c r="H290" i="3"/>
  <c r="H291" i="3" s="1"/>
  <c r="H292" i="3" s="1"/>
  <c r="H293" i="3" s="1"/>
  <c r="I204" i="2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304" i="3" l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H294" i="3"/>
  <c r="H295" i="3" s="1"/>
  <c r="H296" i="3" s="1"/>
  <c r="H297" i="3" s="1"/>
  <c r="H298" i="3" s="1"/>
  <c r="H299" i="3" s="1"/>
  <c r="H300" i="3" s="1"/>
  <c r="H301" i="3" s="1"/>
  <c r="H302" i="3" s="1"/>
  <c r="H303" i="3" s="1"/>
  <c r="I47" i="1"/>
  <c r="H47" i="1"/>
  <c r="H304" i="3" l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53" i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81" i="1" s="1"/>
  <c r="I49" i="1"/>
  <c r="I53" i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H48" i="1"/>
  <c r="H49" i="1" s="1"/>
  <c r="H82" i="1" l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75" i="1"/>
  <c r="H76" i="1" s="1"/>
  <c r="I72" i="1"/>
  <c r="I73" i="1" s="1"/>
  <c r="H96" i="1" l="1"/>
  <c r="H97" i="1" s="1"/>
  <c r="H98" i="1" s="1"/>
  <c r="H99" i="1" s="1"/>
  <c r="H100" i="1" s="1"/>
  <c r="H101" i="1" s="1"/>
  <c r="H102" i="1" s="1"/>
  <c r="I81" i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75" i="1"/>
  <c r="I76" i="1" s="1"/>
  <c r="H103" i="1" l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I96" i="1"/>
  <c r="I97" i="1" s="1"/>
  <c r="I98" i="1" s="1"/>
  <c r="I99" i="1" s="1"/>
  <c r="I100" i="1" s="1"/>
  <c r="I101" i="1" s="1"/>
  <c r="I102" i="1" s="1"/>
  <c r="H120" i="1" l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15" i="1"/>
  <c r="H116" i="1" s="1"/>
  <c r="I103" i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20" i="1" l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4" i="1" s="1"/>
  <c r="I135" i="1" s="1"/>
  <c r="I115" i="1"/>
  <c r="I116" i="1" s="1"/>
  <c r="H138" i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134" i="1"/>
  <c r="H135" i="1" s="1"/>
  <c r="I138" i="1" l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5" i="1" s="1"/>
  <c r="I217" i="1" s="1"/>
  <c r="H174" i="1"/>
  <c r="H176" i="1" s="1"/>
  <c r="H215" i="1"/>
  <c r="H217" i="1" s="1"/>
  <c r="H252" i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I220" i="1" l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174" i="1"/>
  <c r="I176" i="1" s="1"/>
  <c r="H273" i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269" i="1"/>
  <c r="H271" i="1" s="1"/>
  <c r="H321" i="1" l="1"/>
  <c r="I321" i="1"/>
  <c r="I269" i="1"/>
  <c r="I271" i="1" s="1"/>
  <c r="I323" i="1" l="1"/>
  <c r="I325" i="1" s="1"/>
  <c r="I328" i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H323" i="1"/>
  <c r="H325" i="1" s="1"/>
  <c r="H328" i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I350" i="1" l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H350" i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2" i="1" l="1"/>
  <c r="H364" i="1" s="1"/>
  <c r="H368" i="1"/>
  <c r="H369" i="1" s="1"/>
  <c r="H370" i="1" s="1"/>
  <c r="H371" i="1" s="1"/>
  <c r="I362" i="1"/>
  <c r="I364" i="1" s="1"/>
  <c r="I368" i="1"/>
  <c r="I369" i="1" s="1"/>
  <c r="I370" i="1" s="1"/>
  <c r="I371" i="1" s="1"/>
  <c r="I372" i="1" l="1"/>
  <c r="H372" i="1"/>
  <c r="H373" i="1" l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I373" i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l="1"/>
  <c r="I386" i="1" s="1"/>
  <c r="I394" i="1" s="1"/>
  <c r="H385" i="1"/>
  <c r="H386" i="1" s="1"/>
  <c r="H394" i="1" s="1"/>
  <c r="H389" i="1" l="1"/>
  <c r="H391" i="1" s="1"/>
  <c r="H395" i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I389" i="1"/>
  <c r="I391" i="1" s="1"/>
  <c r="I395" i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H420" i="1" l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9" i="1" s="1"/>
  <c r="H450" i="1" s="1"/>
  <c r="H451" i="1" s="1"/>
  <c r="H452" i="1" s="1"/>
  <c r="H453" i="1" s="1"/>
  <c r="H454" i="1" s="1"/>
  <c r="H455" i="1" s="1"/>
  <c r="H456" i="1" s="1"/>
  <c r="I420" i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H457" i="1" l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45" i="1"/>
  <c r="H447" i="1" s="1"/>
  <c r="I445" i="1"/>
  <c r="I447" i="1" s="1"/>
  <c r="I449" i="1"/>
  <c r="I450" i="1" s="1"/>
  <c r="I451" i="1" s="1"/>
  <c r="I452" i="1" s="1"/>
  <c r="I453" i="1" s="1"/>
  <c r="I454" i="1" s="1"/>
  <c r="I455" i="1" s="1"/>
  <c r="I456" i="1" s="1"/>
  <c r="H471" i="1" l="1"/>
  <c r="H475" i="1" s="1"/>
  <c r="I457" i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H473" i="1" l="1"/>
  <c r="I468" i="1"/>
  <c r="I471" i="1" s="1"/>
  <c r="I473" i="1" s="1"/>
  <c r="I477" i="1" s="1"/>
</calcChain>
</file>

<file path=xl/sharedStrings.xml><?xml version="1.0" encoding="utf-8"?>
<sst xmlns="http://schemas.openxmlformats.org/spreadsheetml/2006/main" count="1567" uniqueCount="477">
  <si>
    <t>PT INTIBUMI ALUMINDOTAMA INDUSTRY</t>
  </si>
  <si>
    <t>BUKU BESAR PIUTANG EXPORT</t>
  </si>
  <si>
    <t>TAHUN 2022</t>
  </si>
  <si>
    <t>TANGGAL</t>
  </si>
  <si>
    <t>NO_BUKTI</t>
  </si>
  <si>
    <t>KETERANGAN</t>
  </si>
  <si>
    <t>DEBET</t>
  </si>
  <si>
    <t>KREDIT</t>
  </si>
  <si>
    <t>SALDO</t>
  </si>
  <si>
    <t>SALDO AWAL</t>
  </si>
  <si>
    <t>BUKU BESAR UANG MUKA PELANGGAN</t>
  </si>
  <si>
    <t>BUKU PIUTANG EXPORT</t>
  </si>
  <si>
    <t>CELLOFIX S.L</t>
  </si>
  <si>
    <t>Saldo Awal</t>
  </si>
  <si>
    <t>DAYSTAR PACKAGING INTERNATIONAL LTD / DURABLE INC</t>
  </si>
  <si>
    <t>BUKU BESAR PIUTANG DAGANG EXPORT</t>
  </si>
  <si>
    <t>EFFEGIDI INTERNATIONAL SPA</t>
  </si>
  <si>
    <t>B.BANK</t>
  </si>
  <si>
    <t>ADJ KURS</t>
  </si>
  <si>
    <t>DP</t>
  </si>
  <si>
    <t>PROPACK PACIFIC (RKNM PVT LTD)</t>
  </si>
  <si>
    <t>B.Bank</t>
  </si>
  <si>
    <t>cellofix</t>
  </si>
  <si>
    <t>daystar</t>
  </si>
  <si>
    <t>stella</t>
  </si>
  <si>
    <t>nipra</t>
  </si>
  <si>
    <t>Stella Pack</t>
  </si>
  <si>
    <t>Daystar</t>
  </si>
  <si>
    <t>Propack Pacific</t>
  </si>
  <si>
    <t>Pot.UM Nipra</t>
  </si>
  <si>
    <t>Pot.UM Stella Pack</t>
  </si>
  <si>
    <t>2202/EXP/006/IAI-2</t>
  </si>
  <si>
    <t>STELLA PACK S.A</t>
  </si>
  <si>
    <t>PEB 013945 (2203/EXP/001/IAI-1)</t>
  </si>
  <si>
    <t>2203/EXP/002/IAI-2</t>
  </si>
  <si>
    <t>Cellofix S.L</t>
  </si>
  <si>
    <t>Pot.UM Stella Pack (27/1-22)</t>
  </si>
  <si>
    <t>Hang Yue Tong</t>
  </si>
  <si>
    <t>27/1</t>
  </si>
  <si>
    <t>Stella</t>
  </si>
  <si>
    <t>DURABLE INC</t>
  </si>
  <si>
    <t>FORA FOLIENFABRIK GMBH</t>
  </si>
  <si>
    <t>PEB 019253 (2204/EXP/001/IAI-2)</t>
  </si>
  <si>
    <t>MANAKIN INDUSTRIES, LCC</t>
  </si>
  <si>
    <t>20/1</t>
  </si>
  <si>
    <t>Pot.UM Daystar/Manakin (20/1-22)</t>
  </si>
  <si>
    <t>Pot.UM Daystar (20/1-22)</t>
  </si>
  <si>
    <t>2204/EXP/001/IAI-2</t>
  </si>
  <si>
    <t>Pot.UM Stella Pack (27/1-22 &amp; 17/3-22)</t>
  </si>
  <si>
    <t>Pot.UM Stella Pack (9/12-21 &amp; 25/3-22)</t>
  </si>
  <si>
    <t>2204/EXP/003/IAI-2</t>
  </si>
  <si>
    <t>Cinta Papel</t>
  </si>
  <si>
    <t>Pot.UM Stella Pack (15/4-22)</t>
  </si>
  <si>
    <t>MMP Industries</t>
  </si>
  <si>
    <t>Greenberry</t>
  </si>
  <si>
    <t>PIETRO GALLIANI SPA</t>
  </si>
  <si>
    <t>Pietro Galliani</t>
  </si>
  <si>
    <t>Rivan Aluminium</t>
  </si>
  <si>
    <t>Pot.UM Stella (21/4-22)</t>
  </si>
  <si>
    <t>Pot.UM Stella (14/4-22)</t>
  </si>
  <si>
    <t>Pot.UM Cellofix</t>
  </si>
  <si>
    <t>Pot.UM Propack Pacific (21/1-22 &amp; 08/3-22)</t>
  </si>
  <si>
    <t>Pot.UM Hang Yue Tong/Effegidi</t>
  </si>
  <si>
    <t>Propack Pacific (sisa $10.000,-)</t>
  </si>
  <si>
    <t>Pot.UM Daystar/Endal.SL (31/3-22)</t>
  </si>
  <si>
    <t>Daystar/Eken</t>
  </si>
  <si>
    <t>Pot.UM Daystar/Eken (01/7-22)</t>
  </si>
  <si>
    <t>Daystar/Endal.SL</t>
  </si>
  <si>
    <t>FORA GERMANY</t>
  </si>
  <si>
    <t>Daystar/Fora Folienfabrik</t>
  </si>
  <si>
    <t>Pot.UM Daystar/Fora Folienfabrik (24/2-22)</t>
  </si>
  <si>
    <t>Pot.UM Daystar/Fora Folienfabrik (28/7-22)</t>
  </si>
  <si>
    <t>Pot.UM Daystar/Fora Folienfabrik (05/3-22)</t>
  </si>
  <si>
    <t>NIPRA/PASCHIM CHEMICALS</t>
  </si>
  <si>
    <t>Pot.UM Fora Folienfabrik (28/6-22)</t>
  </si>
  <si>
    <t>Fora Folienfabrik</t>
  </si>
  <si>
    <t>Pot.UM Fora Folienfabrik (23/7-22)</t>
  </si>
  <si>
    <t>Pot.UM Daystar (24/11-21)</t>
  </si>
  <si>
    <t>Pot.UM Daystar (29/12-21)</t>
  </si>
  <si>
    <t>Effegidi</t>
  </si>
  <si>
    <t>Pot.UM Effegidi (17/6-22)</t>
  </si>
  <si>
    <t>FOIL FIX S.L</t>
  </si>
  <si>
    <t>Pot.UM Manakin (11/8-22 &amp; 31/08-22)</t>
  </si>
  <si>
    <t>Manakin</t>
  </si>
  <si>
    <t>Pot.UM Stella Pack (29/4-22)</t>
  </si>
  <si>
    <t>Pot.UM Stella Pack (5/5-22)</t>
  </si>
  <si>
    <t>Durable</t>
  </si>
  <si>
    <t>Pot.UM Pietro (17/6-22)</t>
  </si>
  <si>
    <t>Pot.UM Rivan Al (18/6-22 &amp; 24/8-22)</t>
  </si>
  <si>
    <t>Pot.UM Durable (26/8-22)</t>
  </si>
  <si>
    <t xml:space="preserve">Pot.UM Durable </t>
  </si>
  <si>
    <t>Pot.UM MMP Industries (10/6-22 &amp; 18/8-22)</t>
  </si>
  <si>
    <t>Rivan Al</t>
  </si>
  <si>
    <t>Paschin Chemicals</t>
  </si>
  <si>
    <t>PEB 056653 (2210/EXP/002/IAI-2)</t>
  </si>
  <si>
    <t>PEB 057877 (2210/EXP/004/IAI-2)</t>
  </si>
  <si>
    <t>Foil Fix</t>
  </si>
  <si>
    <t>Pot.UM Greenberry (13/6-22)</t>
  </si>
  <si>
    <t>Pot.UM Effegidi (20/9-22)</t>
  </si>
  <si>
    <t>Pot.UM Effegidi (29/9-22)</t>
  </si>
  <si>
    <t>Pot.UM Manakin (11/8-22)</t>
  </si>
  <si>
    <t>Pot.UM Manakin (20/1-22 &amp; 11/8-22)</t>
  </si>
  <si>
    <t>Pot.UM Paschim (2/8-22 &amp; 30/9-22)</t>
  </si>
  <si>
    <t>Pot.UM Rivan Al (18/6-22 &amp; 22/9-22)</t>
  </si>
  <si>
    <t>Pot.UM Durable (14/9-22)</t>
  </si>
  <si>
    <t>PEB 060568 (2211/EXP/001/IAI-2)</t>
  </si>
  <si>
    <t>Pot.UM Durable (22/9)</t>
  </si>
  <si>
    <t>Pot.UM Durable (26/8, 22/9)</t>
  </si>
  <si>
    <t xml:space="preserve">daystar/durable, manakin, fora </t>
  </si>
  <si>
    <t>Pot.UM Cinta Papel (05/05-22)</t>
  </si>
  <si>
    <t>PI 2209/EXP/014/IAI-2</t>
  </si>
  <si>
    <t>PI 2209/EXP/018/IAI-2</t>
  </si>
  <si>
    <t>Pot.UM Foil Fix (08/08-22)</t>
  </si>
  <si>
    <t>OVER PAYMENT</t>
  </si>
  <si>
    <t>Pot.UM Foil Fix (22/09-22)</t>
  </si>
  <si>
    <t>Over Payment</t>
  </si>
  <si>
    <t>Pot.UM Manakin (13/10-22)</t>
  </si>
  <si>
    <t>Pot.UM Daystar (22/09-22)</t>
  </si>
  <si>
    <t>CONTRACT 0608/EXP/2022</t>
  </si>
  <si>
    <t>Pot.UM Daystar (11/11-22)</t>
  </si>
  <si>
    <t>Pot.UM Effegidi (03/11-22)</t>
  </si>
  <si>
    <t>Pot.UM Effegidi (13/10-22)</t>
  </si>
  <si>
    <t>Pot.UM Effegidi (31/10-22)</t>
  </si>
  <si>
    <t>CONTRACT 0811/EXP/2022</t>
  </si>
  <si>
    <t>EKEN</t>
  </si>
  <si>
    <t>CONTRACT 0402/EXP/2022</t>
  </si>
  <si>
    <t>CONTRACT 0104/EXP/2022</t>
  </si>
  <si>
    <t>Daystar/Fora Folienfabrik (-13.408 - 40.000</t>
  </si>
  <si>
    <t>Fora (-10.000</t>
  </si>
  <si>
    <t>Pot.UM Fora (05/03-22 &amp; 28/06-22)</t>
  </si>
  <si>
    <t>CONTRACT 0501/EXP/2022-R</t>
  </si>
  <si>
    <t>2203/EXP/001/IAI-1 &amp; 2203/EXP/002/IAI-1</t>
  </si>
  <si>
    <t>eken</t>
  </si>
  <si>
    <t>fora</t>
  </si>
  <si>
    <t>manakin</t>
  </si>
  <si>
    <t>pietro</t>
  </si>
  <si>
    <t>propack</t>
  </si>
  <si>
    <t>Pot. UM</t>
  </si>
  <si>
    <t>2212/EXP/012/IAI-2</t>
  </si>
  <si>
    <t>2301/EXP/002/IAI-2</t>
  </si>
  <si>
    <t>2212/EXP/009/IAI-2</t>
  </si>
  <si>
    <t>2301/EXP/001/IAI-2</t>
  </si>
  <si>
    <t>2301/EXP/003/IAI-2</t>
  </si>
  <si>
    <t>2301/EXP/005/IAI-2</t>
  </si>
  <si>
    <t>2301/EXP/004/IAI-2</t>
  </si>
  <si>
    <t>2301/EXP/010/IAI-2</t>
  </si>
  <si>
    <t>2301/EXP/006/IAI-2</t>
  </si>
  <si>
    <t>2301/EXP/011/IAI-2</t>
  </si>
  <si>
    <t>PEB 002727 (2301/EXP/008/IAI-2)</t>
  </si>
  <si>
    <t>PEB 004226 (2301/EXP/009/IAI-2)</t>
  </si>
  <si>
    <t>PEB 003540 (2301/EXP/003/IAI-2)</t>
  </si>
  <si>
    <t>PEB 003539 (2391/EXP/004/IAI-2)</t>
  </si>
  <si>
    <t>PEB 003577 (2301/EXP/005/IAI-2)</t>
  </si>
  <si>
    <t>PEB 003525 (2301/EXP/006/IAI-2)</t>
  </si>
  <si>
    <t>POT.UM Daystar (22/09-22)</t>
  </si>
  <si>
    <t>POT.UM Daystar (11/11-22)</t>
  </si>
  <si>
    <t>POT. UM Stella (27/10-22)</t>
  </si>
  <si>
    <t>POT. UM Daystar (11/11-22)</t>
  </si>
  <si>
    <t>POT. UM Stella (14/11-22)</t>
  </si>
  <si>
    <t>TAHUN 2023</t>
  </si>
  <si>
    <t>POT. UM PIETRO GALLIANI SPA (31/08-22)</t>
  </si>
  <si>
    <t>Durable (-10.000-20.000-47.000-10.000-10.000</t>
  </si>
  <si>
    <t>PEB 002206 (2301/EXP/002/IAI-2) - $ 10.000 - $ 10.000</t>
  </si>
  <si>
    <t>PEB 002944 (2301/EXP/010/IAI-2) - $ 29.588,80</t>
  </si>
  <si>
    <t>2301/EXP/008/IAI-2 &amp; 2301/EXP/009/IAI-2</t>
  </si>
  <si>
    <t>PF.2301/EXP/011/IAI-2</t>
  </si>
  <si>
    <t>MANAKIN INDUSTRIES, LLC</t>
  </si>
  <si>
    <t>PEB 005923 (2301/EXP/013/IAI-2)</t>
  </si>
  <si>
    <t>PEB 009181 (2302/EXP/006/IAI-2)</t>
  </si>
  <si>
    <t>PEB 010370 (2302/EXP/009/IAI-2)</t>
  </si>
  <si>
    <t>PEB 006468 (2302/EXP/003/IAI-2)</t>
  </si>
  <si>
    <t>PEB 005172 (2301/EXP/001/IAI-2)</t>
  </si>
  <si>
    <t>PEB 007278 (2302/EXP/004/IAI-2)</t>
  </si>
  <si>
    <t>PEB 010631 (2302/EXP/008/IAI-2)</t>
  </si>
  <si>
    <t>2301/EXP/013/IAI-2</t>
  </si>
  <si>
    <t>POT. UM DAYSTAR (13/12-22)</t>
  </si>
  <si>
    <t>POT. UM</t>
  </si>
  <si>
    <t>2302/EXP/004/IAI-2</t>
  </si>
  <si>
    <t>Manakin (-50.000 -30.000 -50.000 -42.270,80</t>
  </si>
  <si>
    <t>POT. UM MANAKIN (13/10-22)</t>
  </si>
  <si>
    <t>2302/EXP/003/IAI-2</t>
  </si>
  <si>
    <t>PENERIMAAN</t>
  </si>
  <si>
    <t>POT. UM MANAKIN (13/12-22)</t>
  </si>
  <si>
    <t>2302/EXP/006/IAI-2</t>
  </si>
  <si>
    <t>POT. UM DAYSTAR (13/01)</t>
  </si>
  <si>
    <t>2302/EXP/009/IAI-2</t>
  </si>
  <si>
    <t>Daystar (-30.000 -36.000 -54.000,60</t>
  </si>
  <si>
    <t>PI.2301/EXP/012/IAI-2</t>
  </si>
  <si>
    <t>EFFEGIDI</t>
  </si>
  <si>
    <t>CONTRACT NO.1811/EXP/2022</t>
  </si>
  <si>
    <t>DAYSTAR</t>
  </si>
  <si>
    <t>POT. UM FOIL FIX (06/10-22)</t>
  </si>
  <si>
    <t>FOIL FIX</t>
  </si>
  <si>
    <t>PASCHIM CHEMICALS PVT LTD</t>
  </si>
  <si>
    <t>CONTRACT NO.0102/EXP/2023</t>
  </si>
  <si>
    <t>PASCHIM</t>
  </si>
  <si>
    <t>EKEN GMBH &amp; CO.KG</t>
  </si>
  <si>
    <t>PEB 012890 (2302/EXP/005/IAI-2)</t>
  </si>
  <si>
    <t>PEB 015423 (2303/EXP/010/IAI-2)</t>
  </si>
  <si>
    <t>PEB 015770 (2303/EXP/008/IAI-2)</t>
  </si>
  <si>
    <t>PEB 015771 (2303/EXP/013/IAI-2)</t>
  </si>
  <si>
    <t>PEB 011847 (2303/EXP/001/IAI-2)</t>
  </si>
  <si>
    <t>PEB 012151 (2303/EXP/002/IAI-2)</t>
  </si>
  <si>
    <t>PEB 017861 (2303/EXP/007/IAI-2R)</t>
  </si>
  <si>
    <t>PEB 016897 (2303/EXP/003/IAI-2)</t>
  </si>
  <si>
    <t>PEB 014944 (2303/EXP/006/IAI-2)</t>
  </si>
  <si>
    <t>2302/EXP/008/IAI-2</t>
  </si>
  <si>
    <t>POT. UM STELLA (06/12-22)</t>
  </si>
  <si>
    <t>MOHEDA &amp; RANAL S.L</t>
  </si>
  <si>
    <t>PI.2302/EXP/005/IAI-2</t>
  </si>
  <si>
    <t>MOHEDA &amp; Ranal</t>
  </si>
  <si>
    <t>2302/EXP/005/IAI-2 &amp; 2303/EXP/010/IAI-2</t>
  </si>
  <si>
    <t>2303/EXP/008/IAI-2 &amp; 2303/EXP/013/IAI-2</t>
  </si>
  <si>
    <t>POT. UM EFFEGIDI (24/02)</t>
  </si>
  <si>
    <t>POT. UM EFFEGIDI (07/02)</t>
  </si>
  <si>
    <t>CONTRACT NO.0711/EXP/2022-R2</t>
  </si>
  <si>
    <t>2303/EXP/009/IAI-2-R</t>
  </si>
  <si>
    <t>PEB 017655 (2303/EXP/009/IAI-2-R) -$30.000</t>
  </si>
  <si>
    <t>PEB 016454 (2303/EXP/014/IAI-2) -$15.168 -$27.000</t>
  </si>
  <si>
    <t>2303/EXP/014/IAI-2</t>
  </si>
  <si>
    <t>POT. UM DAYSTAR (27/02)</t>
  </si>
  <si>
    <t>2303/EXP/002/IAI-2</t>
  </si>
  <si>
    <t>PI.2303/EXP/007/IAI-2</t>
  </si>
  <si>
    <t>PI.2303/EXP/004/IAI-2</t>
  </si>
  <si>
    <t>POT. UM FOIL FIX (15/02)</t>
  </si>
  <si>
    <t>2303/EXP/003/IAI-2</t>
  </si>
  <si>
    <t>Manakin (-30.000 -24.000</t>
  </si>
  <si>
    <t>2303/EXP/006/IAI-2</t>
  </si>
  <si>
    <t>PI.2303/EXP/015/IAI-2</t>
  </si>
  <si>
    <t>V</t>
  </si>
  <si>
    <t>POT. UM EKEN</t>
  </si>
  <si>
    <t>MOHEDA &amp; RANAL SL</t>
  </si>
  <si>
    <t>PEB 022389 (2304/EXP/002/IAI-2)</t>
  </si>
  <si>
    <t>PEB 018830 (2304/EXP/001/IAI-2)</t>
  </si>
  <si>
    <t>PEB 019046 (2304/EXP/003/IAI-2)</t>
  </si>
  <si>
    <t>PEB 019834 (2304/EXP/004/IAI-2)</t>
  </si>
  <si>
    <t>CONTRACT NO.0112/EXP/2022</t>
  </si>
  <si>
    <t>Daystar (-8.000 -22.000 -15.168 -30,000,-)</t>
  </si>
  <si>
    <t>PI 2304/EXP/002/IAI-2</t>
  </si>
  <si>
    <t>2304/EXP/001-IAI-2</t>
  </si>
  <si>
    <t>PI 2303/EXP/018/IAI-2</t>
  </si>
  <si>
    <t>PIETRO GALLIANI</t>
  </si>
  <si>
    <t>PI 2304/EXP/001/IAI-1</t>
  </si>
  <si>
    <t xml:space="preserve">PASCHIM </t>
  </si>
  <si>
    <t>PI 2304/EXP/005/IAI-2</t>
  </si>
  <si>
    <t>2304/EXP/001/IAI-2</t>
  </si>
  <si>
    <t>PEB 023658 (2305/EXP/002/IAI-2)</t>
  </si>
  <si>
    <t>PEB 023662 (2305/EXP/001/IAI-2)</t>
  </si>
  <si>
    <t>PEB 023664 (2305/EXP/003/IAI-2)</t>
  </si>
  <si>
    <t>PEB 024992 (2305/EXP/009/IAI-2)</t>
  </si>
  <si>
    <t>PEB 026561 (2305/EXP/012/IAI-2)</t>
  </si>
  <si>
    <t>PEB 027533 (2305/EXP/005/IAI-2)</t>
  </si>
  <si>
    <t>PEB 022898 (2304/EXP/001/IAI-1)</t>
  </si>
  <si>
    <t>PEB 026519 (2305/EXP/006/IAI-2)</t>
  </si>
  <si>
    <t>2305/EXP/002/IAI-2</t>
  </si>
  <si>
    <t>POT.UM</t>
  </si>
  <si>
    <t>2305/EXP/003/IAI-2</t>
  </si>
  <si>
    <t>2305/EXP/009/IAI-2</t>
  </si>
  <si>
    <t>2305/EXP/012/IAI-2</t>
  </si>
  <si>
    <t>2305/EXP/005/IAI-2</t>
  </si>
  <si>
    <t>2305/EXP/006/IAI-2</t>
  </si>
  <si>
    <t>2305/EXP/001/IAI-2</t>
  </si>
  <si>
    <t>2305/EXP/011/IAI-2</t>
  </si>
  <si>
    <t>EFFEGIDI (CHEONGFULI)</t>
  </si>
  <si>
    <t>CONTRACT NO. 0301/EXP/2023</t>
  </si>
  <si>
    <t>VESCEL PACKAGING SL</t>
  </si>
  <si>
    <t>VESCEL PACAKING SL</t>
  </si>
  <si>
    <t>POT.UM DAYSTAR (27/02)</t>
  </si>
  <si>
    <t>POT.UM DAYSTAR (15/03)</t>
  </si>
  <si>
    <t>POT.UM DAYSTAR (06/04)</t>
  </si>
  <si>
    <t>POT.UM PIETRO (31/08-22)</t>
  </si>
  <si>
    <t>POT.UM MANAKIN (13/12-22)</t>
  </si>
  <si>
    <t>POT.UM MANAKIN (13/02)</t>
  </si>
  <si>
    <t>POT.UM PIETRO (14/04)</t>
  </si>
  <si>
    <t>POT.UM PASCHIM (03/02)</t>
  </si>
  <si>
    <t>POT.UM PASCHIM (18/04)</t>
  </si>
  <si>
    <t>MANAKIN INDUSTRIES</t>
  </si>
  <si>
    <t>STELLA PACK</t>
  </si>
  <si>
    <t>2306/EXP/003/IAI-2</t>
  </si>
  <si>
    <t>2306/EXP/007/IAI-2</t>
  </si>
  <si>
    <t>2306/EXP/010/IAI-2</t>
  </si>
  <si>
    <t>2306/EXP/002/IAI-2</t>
  </si>
  <si>
    <t>CONTRACT NO.0201/EXP/2023</t>
  </si>
  <si>
    <t>2306/EXP/008/IAI-2</t>
  </si>
  <si>
    <t>2306/EXP/012/IAI-2</t>
  </si>
  <si>
    <t>2306/EXP/011/IAI-2</t>
  </si>
  <si>
    <t>2305/EXP/014/IAI-2</t>
  </si>
  <si>
    <t>2306/EXP/001/IAI-2</t>
  </si>
  <si>
    <t>2306/EXP/009/IAI-2</t>
  </si>
  <si>
    <t>2305/EXP/015/IAI-2</t>
  </si>
  <si>
    <t>2306/EXP/006/IAI-2</t>
  </si>
  <si>
    <t>2306/EXP/015/IAI-2</t>
  </si>
  <si>
    <t>CONTRACT NO. 0104/EXP/2023</t>
  </si>
  <si>
    <t>CONTRACT NO 0106/EXP/2023</t>
  </si>
  <si>
    <t>PASCHIM CHEMICAL</t>
  </si>
  <si>
    <t>PEB 031633 (2306/EXP/006/IAI-2)</t>
  </si>
  <si>
    <t>PEB 031809 (2306/EXP/007/IAI-2)</t>
  </si>
  <si>
    <t>PEB 033324 (2306/EXP/010/IAI-2)</t>
  </si>
  <si>
    <t>PEB 033165 (2306/EXP/011/IAI-2)</t>
  </si>
  <si>
    <t>PEB 035163 (2306/EXP/008/IAI-2)</t>
  </si>
  <si>
    <t>PEB 035166 (2306/EXP/012/IAI-2)</t>
  </si>
  <si>
    <t>PEB 032070 (2306/EXP/009/IAI-2)</t>
  </si>
  <si>
    <t>PI 2306/EXP/015/IAI-2</t>
  </si>
  <si>
    <t>PEB 030561 (2306/EXP/003/IAI-2)</t>
  </si>
  <si>
    <t>PEB 033159 (2306/EXP/002/IAI-2)</t>
  </si>
  <si>
    <t>PEB 033157 (2306/EXP/001/IAI-2)</t>
  </si>
  <si>
    <t>POT.UM MANAKIN (13/02-23)</t>
  </si>
  <si>
    <t>POT.UM STELLA PACK (06/12-22)</t>
  </si>
  <si>
    <t>POT.UM DAYSTAR (15/03-23)</t>
  </si>
  <si>
    <t>POT.UM DAYSTAR (06/04-23)</t>
  </si>
  <si>
    <t>POT.UM EFFEGIDI (10/04-23)</t>
  </si>
  <si>
    <t>POT.UM STELLA PACK (14/11-22)</t>
  </si>
  <si>
    <t>POT.UM DAYSTAR (22/05-23)</t>
  </si>
  <si>
    <t>DAYSTAR (-27.000 -41.000 -70.472,80</t>
  </si>
  <si>
    <t>TRADE CHANNELS</t>
  </si>
  <si>
    <t>VESCEL PACKAGING</t>
  </si>
  <si>
    <t>2307/EXP/001/IAI-2</t>
  </si>
  <si>
    <t>2307/EXP/003/IAI-2</t>
  </si>
  <si>
    <t>2307/EXP/004/IAI-2</t>
  </si>
  <si>
    <t>2307/EXP/007/IAI-2</t>
  </si>
  <si>
    <t>2306/EXP/018/IAI-2</t>
  </si>
  <si>
    <t>2307/EXP/010/IAI-2</t>
  </si>
  <si>
    <t>2307/EXP/012/IAI-2</t>
  </si>
  <si>
    <t>CONTRACT NO. 0402/EXP/2023</t>
  </si>
  <si>
    <t>2307/EXP/013/IAI-2</t>
  </si>
  <si>
    <t>2307/EXP/014/IAI-2</t>
  </si>
  <si>
    <t>PASCHIM CHEMICALS</t>
  </si>
  <si>
    <t>2306/EXP/005/IAI-2</t>
  </si>
  <si>
    <t>2307/EXP/008/IAI-2</t>
  </si>
  <si>
    <t>2307/EXP/001/IAI-1</t>
  </si>
  <si>
    <t>PEB 036088 (2307/EXP/001/IAI-2)</t>
  </si>
  <si>
    <t>PEB 037507 (2307/EXP/003/IAI-2)</t>
  </si>
  <si>
    <t>PEB 038668 (2307/EXP/004/IAI-2)</t>
  </si>
  <si>
    <t>PEB 038809 (2307/EXP/008/IAI-2)</t>
  </si>
  <si>
    <t xml:space="preserve"> </t>
  </si>
  <si>
    <t>PEB 039190 (2307/EXP/007/IAI-2)</t>
  </si>
  <si>
    <t>PEB 039971 (2307/EXP/010/IAI-2)</t>
  </si>
  <si>
    <t>PEB 040210 (2307/EXP/012/IAI-2)</t>
  </si>
  <si>
    <t>PEB 041168 (2307/EXP/013/IAI-2)</t>
  </si>
  <si>
    <t>PEB 041171 (2307/EXP/014/IAI-2)</t>
  </si>
  <si>
    <t>PEB 039190 (2307/EXP/011/IAI-2)</t>
  </si>
  <si>
    <t>POT. UM STELLA PACK (14/11-22)</t>
  </si>
  <si>
    <t>POT. UM PIETRO GALLANI (08/06-23)</t>
  </si>
  <si>
    <t>POT. UM STELLA PACK (03/01-23)</t>
  </si>
  <si>
    <t>POT. UM VESCEL PACKAGING (02/05-23)</t>
  </si>
  <si>
    <t>POT. UM DAYSTAR (22/05-23)</t>
  </si>
  <si>
    <t>POT. UM DAYSTAR (07/07-23)</t>
  </si>
  <si>
    <t>2307/EXP/009/IAI-2</t>
  </si>
  <si>
    <t>EFFEGIDI INTERNATIONAL</t>
  </si>
  <si>
    <t>2307/EXP/016/IAI-2</t>
  </si>
  <si>
    <t>2308/EXP/001/IAI-2</t>
  </si>
  <si>
    <t>2308/EXP/001/IAI-1</t>
  </si>
  <si>
    <t>2308/EXP/002/IAI-2</t>
  </si>
  <si>
    <t>2308/EXP/006/IAI-2</t>
  </si>
  <si>
    <t>2308/EXP/007/IAI-2</t>
  </si>
  <si>
    <t>2308/EXP/012/IAI-2</t>
  </si>
  <si>
    <t>CONTRACT NO. 0306/EXP/2023</t>
  </si>
  <si>
    <t>2308/EXP/015/IAI-2</t>
  </si>
  <si>
    <t>PEB 047783 (2308/EXP/015/IAI-2)</t>
  </si>
  <si>
    <t>POT.UM DAYSTAR (31/07-23)</t>
  </si>
  <si>
    <t>PEB 042240 (2308/EXP/001/IAI-2)</t>
  </si>
  <si>
    <t>PEB 042876 (2308/EXP/001/IAI-1)</t>
  </si>
  <si>
    <t>Lebih Bayar Freight (2308/EXP/001/IAI-1)</t>
  </si>
  <si>
    <t>POT. UM DAYSTAR (31/07-23)</t>
  </si>
  <si>
    <t>POT. UM PASCHIM CHEMICAL (13/06-23)</t>
  </si>
  <si>
    <t>PEB 043159 (2308/EXP/009/IAI-2)</t>
  </si>
  <si>
    <t>2308/EXP/009/IAI-2</t>
  </si>
  <si>
    <t>POT.UM EFFEGIDI (14/03-23)</t>
  </si>
  <si>
    <t>PEB 044800 (2308/EXP/008/IAI-2)</t>
  </si>
  <si>
    <t>POT.UM EKEN GMBH (10/05-23)</t>
  </si>
  <si>
    <t>PEB 046083 (2308/EXP/012/IAI-2)</t>
  </si>
  <si>
    <t>POT.UM DAYSTAR (07/07-23)</t>
  </si>
  <si>
    <t>PEB 046084 (2308/EXP/007/IAI-2)</t>
  </si>
  <si>
    <t>PEB 046201 (2308/EXP/006/IAI-2)</t>
  </si>
  <si>
    <t>2308/EXP/005/IAI-2</t>
  </si>
  <si>
    <t>PEB 046202 (2308/EXP/005/IAI-2)</t>
  </si>
  <si>
    <t>PEB 047467 (2308/EXP/014/IAI-2)</t>
  </si>
  <si>
    <t>2308/EXP/014/IAI-2</t>
  </si>
  <si>
    <t>PEB 047696 (2308/EXP/013/IAI-2)</t>
  </si>
  <si>
    <t>2308/EXP/013/IAI-2</t>
  </si>
  <si>
    <t>CONTRACT NO. 0108/EXP/2023</t>
  </si>
  <si>
    <t>DURABLE</t>
  </si>
  <si>
    <t>2309/EXP/001/IAI-2</t>
  </si>
  <si>
    <t>PEB 049056 (2309/EXP/001/IAI-2)</t>
  </si>
  <si>
    <t>POT.UM STELLA PACK (03/01-23)</t>
  </si>
  <si>
    <t>PEB 050021 (2309/EXP/001/IAI-1)</t>
  </si>
  <si>
    <t>2309/EXP/001/IAI-1</t>
  </si>
  <si>
    <t>POT.UM PASCHIM CHEMICAL (06/07-23)</t>
  </si>
  <si>
    <t>PEB 052295 (2309/EXP/004/IAI-2)</t>
  </si>
  <si>
    <t>2309/EXP/004/IAI-2</t>
  </si>
  <si>
    <t>CONTRACT NO. 0207/EXP/2023</t>
  </si>
  <si>
    <t>POT.UM DAYSTAR (08/09-23)</t>
  </si>
  <si>
    <t>PEB 900887 (2309/EXP/003/IAI-2)</t>
  </si>
  <si>
    <t>2309/EXP/003/IAI-2</t>
  </si>
  <si>
    <t>PEB 052943 (2309/EXP/006/IAI-2)</t>
  </si>
  <si>
    <t>2309/EXP/006/IAI-2</t>
  </si>
  <si>
    <t>PEB 901029 (2309/EXP/007/IAI-2)</t>
  </si>
  <si>
    <t>2309/EXP/007/IAI-2</t>
  </si>
  <si>
    <t>2309/EXP/002/IAI-2</t>
  </si>
  <si>
    <t>2309/EXP/002/IAI-2 (PEB 900659)</t>
  </si>
  <si>
    <t>PEB 902650 (2310/EXP/003/IAI-2)</t>
  </si>
  <si>
    <t>PEB 903270 (2310/EXP/004/IAI-2)</t>
  </si>
  <si>
    <t>PEB 901544 (2310/EXP/001/IAI-2)</t>
  </si>
  <si>
    <t>PEB 901790 (2310/EXP/001/IAI-1)</t>
  </si>
  <si>
    <t>PEB 902655 (2310/EXP/002/IAI-2)</t>
  </si>
  <si>
    <t>2310/EXP/001/IAI-2</t>
  </si>
  <si>
    <t>2310/EXP/001/IAI-1</t>
  </si>
  <si>
    <t>2310/EXP/003/IAI-2</t>
  </si>
  <si>
    <t>2310/EXP/002/IAI-2</t>
  </si>
  <si>
    <t>POT.UM FOIL FIX (20/10-22)</t>
  </si>
  <si>
    <t>POT.UM PASCHIM CHEMICAL (15/08-23)</t>
  </si>
  <si>
    <t>2310/EXP/004/IAI-2</t>
  </si>
  <si>
    <t>PEB 903351 (2310/EXP/005/IAI-2)</t>
  </si>
  <si>
    <t>2310/EXP/005/IAI-2</t>
  </si>
  <si>
    <t>POT.UM DAYSTAR (12/09-23)</t>
  </si>
  <si>
    <t>2311/EXP/001/IAI-2</t>
  </si>
  <si>
    <t>2310/EXP/006/IAI-2</t>
  </si>
  <si>
    <t>2311/EXP/001/IAI-1</t>
  </si>
  <si>
    <t>2311/EXP/004/IAI-2</t>
  </si>
  <si>
    <t>2311/EXP/007/IAI-2</t>
  </si>
  <si>
    <t>2311/EXP/005/IAI-2</t>
  </si>
  <si>
    <t>PEB 903476 (2310/EXP/006/IAI-2)</t>
  </si>
  <si>
    <t>PEB 903772 (2311/EXP/001/IAI-2)</t>
  </si>
  <si>
    <t>PEB 905617 (2311/EXP/002/IAI-2)</t>
  </si>
  <si>
    <t>PEB 905613 (2311/EXP/003/IAI-2)</t>
  </si>
  <si>
    <t>PEB 906355 (2311/EXP/001/IAI-1)</t>
  </si>
  <si>
    <t>PEB 906431 (2311/EXP/004/IAI-2)</t>
  </si>
  <si>
    <t>PEB 906435 (2311/EXP/005/IAI-2)</t>
  </si>
  <si>
    <t>PEB 906747 (2311/EXP/006/IAI-2)</t>
  </si>
  <si>
    <t>PEB 906743 (2311/EXP/007/IAI-2)</t>
  </si>
  <si>
    <t>PEB 907284 (2311/EXP/008/IAI-2)</t>
  </si>
  <si>
    <t>2311/EXP/002/IAI-2</t>
  </si>
  <si>
    <t>2311/EXP/003/IAI-2</t>
  </si>
  <si>
    <t>DISC (B.BANK)</t>
  </si>
  <si>
    <t>2311/EXP/008/IAI-2</t>
  </si>
  <si>
    <t>POT.UM DAYSTAR (04/10-23)</t>
  </si>
  <si>
    <t>POT.UM PASCHIM (27/09-23)</t>
  </si>
  <si>
    <t>POT.UM DAYSTAR (24/10-23)</t>
  </si>
  <si>
    <t>ADJ -&gt; 0111/EXP/2023</t>
  </si>
  <si>
    <t>ADJ -&gt; Contract No. 0111/EXP/2023</t>
  </si>
  <si>
    <t>CONTRACT NO, 0111/EXP/2023</t>
  </si>
  <si>
    <t>POT.UM DAYSTAR (13/11-23)</t>
  </si>
  <si>
    <t>PEB 909718 (2312/EXP/001/IAI-2)</t>
  </si>
  <si>
    <t>PEB 910818 (2312/EXP/002/IAI-2)</t>
  </si>
  <si>
    <t>PEB 911810 (2312/EXP/001/IAI-1)</t>
  </si>
  <si>
    <t>PEB 912716 (2312/EXP/003/IAI-2R)</t>
  </si>
  <si>
    <t>2312/EXP/001/IAI-2</t>
  </si>
  <si>
    <t>2312/EXP/002/IAI-2</t>
  </si>
  <si>
    <t>2312/EXP/001/IAI-1</t>
  </si>
  <si>
    <t>2312/EXP/003/IAI-2R</t>
  </si>
  <si>
    <t>POT.UM FOIL FIX (22/10-22)</t>
  </si>
  <si>
    <t>POT.UM PASCHIM CHEMICALS (29/09-23)</t>
  </si>
  <si>
    <t>Refund - EFFEGIDI</t>
  </si>
  <si>
    <t>Potong Refund $ 68,706</t>
  </si>
  <si>
    <t>POT.UM EFFEGIDI (11/05-23)</t>
  </si>
  <si>
    <t>POT.UM FOIL FIX (06/10-22)</t>
  </si>
  <si>
    <t>ADJ KE FOIL FIX</t>
  </si>
  <si>
    <t>Sisa</t>
  </si>
  <si>
    <t>ADJ ke DAYSTAR</t>
  </si>
  <si>
    <t>ADJ dari DAYSTAR</t>
  </si>
  <si>
    <t>Pengembalian Propack</t>
  </si>
  <si>
    <t>Pengembalian</t>
  </si>
  <si>
    <t>POT.UM DAYSTAR (28/04)</t>
  </si>
  <si>
    <t>POT. UM EFFEGIDI (10/04)</t>
  </si>
  <si>
    <t>ADJ dri Cellofix</t>
  </si>
  <si>
    <t>0101/EXP/2023</t>
  </si>
  <si>
    <t>Adj Ke Moheda</t>
  </si>
  <si>
    <t>Adj dari Stella Pack</t>
  </si>
  <si>
    <t>POT.UM Moheda (11/01)</t>
  </si>
  <si>
    <t>POT. UM MOHEDA (10/03)</t>
  </si>
  <si>
    <t>ADJ ke Trade Channels</t>
  </si>
  <si>
    <t>ADJ dr Stella Pack</t>
  </si>
  <si>
    <t>31 Jul2 3</t>
  </si>
  <si>
    <t>ADA ADJUST DI JUNI $ 188.20</t>
  </si>
  <si>
    <t>2304/EXP/003/IAI-2</t>
  </si>
  <si>
    <t>POT.UM STELLA (24/03)</t>
  </si>
  <si>
    <t>POT.UM STELLA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</si>
</sst>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000"/>
    <numFmt numFmtId="165" formatCode="#,##0.00000"/>
    <numFmt numFmtId="166" formatCode="_([$$-409]* #,##0.00_);_([$$-409]* \(#,##0.00\);_([$$-409]* &quot;-&quot;??_);_(@_)"/>
    <numFmt numFmtId="167" formatCode="_(* #,##0.00_);_(* \(#,##0.0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u val="singleAccounting"/>
      <sz val="10"/>
      <color theme="9" tint="-0.499984740745262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66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6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15" fontId="2" fillId="0" borderId="0" xfId="0" applyNumberFormat="1" applyFont="1"/>
    <xf numFmtId="44" fontId="2" fillId="0" borderId="0" xfId="2" applyFont="1"/>
    <xf numFmtId="43" fontId="2" fillId="0" borderId="0" xfId="1" applyFont="1"/>
    <xf numFmtId="15" fontId="3" fillId="0" borderId="0" xfId="0" applyNumberFormat="1" applyFont="1"/>
    <xf numFmtId="44" fontId="3" fillId="0" borderId="0" xfId="2" applyFont="1"/>
    <xf numFmtId="43" fontId="3" fillId="0" borderId="0" xfId="1" applyFont="1"/>
    <xf numFmtId="0" fontId="3" fillId="0" borderId="1" xfId="0" applyFont="1" applyBorder="1"/>
    <xf numFmtId="15" fontId="3" fillId="0" borderId="1" xfId="0" applyNumberFormat="1" applyFont="1" applyBorder="1" applyAlignment="1">
      <alignment horizontal="right"/>
    </xf>
    <xf numFmtId="15" fontId="2" fillId="0" borderId="4" xfId="0" applyNumberFormat="1" applyFont="1" applyBorder="1"/>
    <xf numFmtId="0" fontId="2" fillId="0" borderId="4" xfId="0" applyFont="1" applyBorder="1"/>
    <xf numFmtId="44" fontId="2" fillId="0" borderId="4" xfId="2" applyFont="1" applyBorder="1"/>
    <xf numFmtId="43" fontId="2" fillId="0" borderId="4" xfId="1" applyFont="1" applyBorder="1"/>
    <xf numFmtId="44" fontId="4" fillId="0" borderId="0" xfId="2" applyFont="1"/>
    <xf numFmtId="44" fontId="6" fillId="0" borderId="0" xfId="2" applyFont="1"/>
    <xf numFmtId="44" fontId="2" fillId="2" borderId="0" xfId="2" applyFont="1" applyFill="1"/>
    <xf numFmtId="44" fontId="2" fillId="0" borderId="0" xfId="2" applyFont="1" applyFill="1"/>
    <xf numFmtId="44" fontId="7" fillId="0" borderId="0" xfId="2" applyFont="1"/>
    <xf numFmtId="44" fontId="2" fillId="0" borderId="0" xfId="0" applyNumberFormat="1" applyFont="1"/>
    <xf numFmtId="44" fontId="5" fillId="2" borderId="0" xfId="2" applyFont="1" applyFill="1"/>
    <xf numFmtId="44" fontId="8" fillId="0" borderId="0" xfId="2" applyFont="1"/>
    <xf numFmtId="44" fontId="9" fillId="0" borderId="0" xfId="2" applyFont="1" applyBorder="1"/>
    <xf numFmtId="44" fontId="2" fillId="3" borderId="0" xfId="2" applyFont="1" applyFill="1"/>
    <xf numFmtId="44" fontId="2" fillId="0" borderId="0" xfId="2" applyFont="1" applyBorder="1"/>
    <xf numFmtId="43" fontId="2" fillId="0" borderId="0" xfId="1" applyFont="1" applyBorder="1"/>
    <xf numFmtId="44" fontId="2" fillId="4" borderId="0" xfId="2" applyFont="1" applyFill="1"/>
    <xf numFmtId="44" fontId="2" fillId="5" borderId="0" xfId="2" applyFont="1" applyFill="1"/>
    <xf numFmtId="44" fontId="2" fillId="6" borderId="0" xfId="2" applyFont="1" applyFill="1"/>
    <xf numFmtId="44" fontId="10" fillId="0" borderId="0" xfId="2" applyFont="1"/>
    <xf numFmtId="44" fontId="11" fillId="0" borderId="0" xfId="2" applyFont="1"/>
    <xf numFmtId="44" fontId="2" fillId="7" borderId="0" xfId="2" applyFont="1" applyFill="1"/>
    <xf numFmtId="43" fontId="2" fillId="0" borderId="0" xfId="1" applyFont="1" applyFill="1"/>
    <xf numFmtId="44" fontId="2" fillId="8" borderId="0" xfId="2" applyFont="1" applyFill="1"/>
    <xf numFmtId="44" fontId="12" fillId="0" borderId="0" xfId="2" applyFont="1"/>
    <xf numFmtId="0" fontId="2" fillId="9" borderId="0" xfId="0" applyFont="1" applyFill="1"/>
    <xf numFmtId="44" fontId="2" fillId="9" borderId="0" xfId="2" applyFont="1" applyFill="1"/>
    <xf numFmtId="15" fontId="2" fillId="9" borderId="0" xfId="0" applyNumberFormat="1" applyFont="1" applyFill="1"/>
    <xf numFmtId="43" fontId="2" fillId="9" borderId="0" xfId="1" applyFont="1" applyFill="1"/>
    <xf numFmtId="44" fontId="2" fillId="10" borderId="0" xfId="2" applyFont="1" applyFill="1"/>
    <xf numFmtId="0" fontId="5" fillId="0" borderId="0" xfId="0" applyFont="1"/>
    <xf numFmtId="44" fontId="2" fillId="11" borderId="0" xfId="2" applyFont="1" applyFill="1"/>
    <xf numFmtId="15" fontId="2" fillId="12" borderId="0" xfId="0" applyNumberFormat="1" applyFont="1" applyFill="1"/>
    <xf numFmtId="0" fontId="2" fillId="12" borderId="0" xfId="0" applyFont="1" applyFill="1"/>
    <xf numFmtId="44" fontId="2" fillId="12" borderId="0" xfId="2" applyFont="1" applyFill="1"/>
    <xf numFmtId="43" fontId="2" fillId="12" borderId="0" xfId="1" applyFont="1" applyFill="1"/>
    <xf numFmtId="0" fontId="5" fillId="12" borderId="0" xfId="0" applyFont="1" applyFill="1"/>
    <xf numFmtId="43" fontId="2" fillId="4" borderId="0" xfId="1" applyFont="1" applyFill="1"/>
    <xf numFmtId="15" fontId="2" fillId="0" borderId="5" xfId="0" applyNumberFormat="1" applyFont="1" applyBorder="1"/>
    <xf numFmtId="0" fontId="2" fillId="0" borderId="5" xfId="0" applyFont="1" applyBorder="1"/>
    <xf numFmtId="43" fontId="2" fillId="0" borderId="5" xfId="1" applyFont="1" applyBorder="1"/>
    <xf numFmtId="44" fontId="2" fillId="0" borderId="5" xfId="2" applyFont="1" applyBorder="1"/>
    <xf numFmtId="44" fontId="3" fillId="0" borderId="5" xfId="2" applyFont="1" applyBorder="1"/>
    <xf numFmtId="43" fontId="3" fillId="0" borderId="5" xfId="1" applyFont="1" applyBorder="1"/>
    <xf numFmtId="44" fontId="2" fillId="0" borderId="5" xfId="2" applyFont="1" applyFill="1" applyBorder="1"/>
    <xf numFmtId="43" fontId="2" fillId="0" borderId="5" xfId="1" applyFont="1" applyFill="1" applyBorder="1"/>
    <xf numFmtId="15" fontId="2" fillId="0" borderId="6" xfId="0" applyNumberFormat="1" applyFont="1" applyBorder="1"/>
    <xf numFmtId="0" fontId="2" fillId="0" borderId="6" xfId="0" applyFont="1" applyBorder="1"/>
    <xf numFmtId="44" fontId="2" fillId="0" borderId="6" xfId="2" applyFont="1" applyBorder="1"/>
    <xf numFmtId="44" fontId="3" fillId="0" borderId="6" xfId="2" applyFont="1" applyBorder="1"/>
    <xf numFmtId="43" fontId="3" fillId="0" borderId="6" xfId="1" applyFont="1" applyBorder="1"/>
    <xf numFmtId="44" fontId="2" fillId="2" borderId="5" xfId="2" applyFont="1" applyFill="1" applyBorder="1"/>
    <xf numFmtId="15" fontId="2" fillId="8" borderId="5" xfId="0" applyNumberFormat="1" applyFont="1" applyFill="1" applyBorder="1"/>
    <xf numFmtId="0" fontId="2" fillId="8" borderId="5" xfId="0" applyFont="1" applyFill="1" applyBorder="1"/>
    <xf numFmtId="44" fontId="2" fillId="8" borderId="5" xfId="2" applyFont="1" applyFill="1" applyBorder="1"/>
    <xf numFmtId="44" fontId="2" fillId="13" borderId="0" xfId="2" applyFont="1" applyFill="1"/>
    <xf numFmtId="44" fontId="2" fillId="14" borderId="0" xfId="2" applyFont="1" applyFill="1"/>
    <xf numFmtId="4" fontId="2" fillId="0" borderId="0" xfId="0" applyNumberFormat="1" applyFont="1"/>
    <xf numFmtId="164" fontId="2" fillId="0" borderId="0" xfId="0" applyNumberFormat="1" applyFont="1"/>
    <xf numFmtId="43" fontId="2" fillId="0" borderId="0" xfId="0" applyNumberFormat="1" applyFont="1"/>
    <xf numFmtId="165" fontId="2" fillId="0" borderId="0" xfId="0" applyNumberFormat="1" applyFont="1"/>
    <xf numFmtId="44" fontId="2" fillId="15" borderId="0" xfId="2" applyFont="1" applyFill="1"/>
    <xf numFmtId="43" fontId="2" fillId="0" borderId="0" xfId="1" applyFont="1" applyFill="1" applyBorder="1"/>
    <xf numFmtId="0" fontId="2" fillId="0" borderId="7" xfId="0" applyFont="1" applyBorder="1"/>
    <xf numFmtId="44" fontId="2" fillId="0" borderId="7" xfId="2" applyFont="1" applyBorder="1"/>
    <xf numFmtId="0" fontId="2" fillId="0" borderId="8" xfId="0" applyFont="1" applyBorder="1"/>
    <xf numFmtId="15" fontId="2" fillId="0" borderId="8" xfId="0" applyNumberFormat="1" applyFont="1" applyBorder="1"/>
    <xf numFmtId="44" fontId="2" fillId="0" borderId="8" xfId="2" applyFont="1" applyBorder="1"/>
    <xf numFmtId="43" fontId="2" fillId="0" borderId="8" xfId="1" applyFont="1" applyBorder="1"/>
    <xf numFmtId="44" fontId="3" fillId="0" borderId="8" xfId="2" applyFont="1" applyBorder="1"/>
    <xf numFmtId="43" fontId="3" fillId="0" borderId="8" xfId="1" applyFont="1" applyBorder="1"/>
    <xf numFmtId="0" fontId="3" fillId="0" borderId="3" xfId="0" applyFont="1" applyBorder="1"/>
    <xf numFmtId="0" fontId="2" fillId="0" borderId="9" xfId="0" applyFont="1" applyBorder="1"/>
    <xf numFmtId="15" fontId="2" fillId="8" borderId="8" xfId="0" applyNumberFormat="1" applyFont="1" applyFill="1" applyBorder="1"/>
    <xf numFmtId="44" fontId="2" fillId="0" borderId="9" xfId="2" applyFont="1" applyBorder="1"/>
    <xf numFmtId="0" fontId="2" fillId="8" borderId="0" xfId="0" applyFont="1" applyFill="1"/>
    <xf numFmtId="0" fontId="2" fillId="8" borderId="8" xfId="0" applyFont="1" applyFill="1" applyBorder="1"/>
    <xf numFmtId="43" fontId="2" fillId="0" borderId="9" xfId="1" applyFont="1" applyBorder="1"/>
    <xf numFmtId="44" fontId="2" fillId="15" borderId="8" xfId="2" applyFont="1" applyFill="1" applyBorder="1"/>
    <xf numFmtId="44" fontId="2" fillId="10" borderId="8" xfId="2" applyFont="1" applyFill="1" applyBorder="1"/>
    <xf numFmtId="44" fontId="2" fillId="16" borderId="7" xfId="2" applyFont="1" applyFill="1" applyBorder="1"/>
    <xf numFmtId="44" fontId="4" fillId="0" borderId="0" xfId="2" applyFont="1" applyFill="1" applyBorder="1"/>
    <xf numFmtId="44" fontId="4" fillId="0" borderId="0" xfId="2" applyFont="1" applyBorder="1"/>
    <xf numFmtId="44" fontId="5" fillId="0" borderId="0" xfId="2" applyFont="1"/>
    <xf numFmtId="44" fontId="2" fillId="17" borderId="0" xfId="2" applyFont="1" applyFill="1"/>
    <xf numFmtId="43" fontId="2" fillId="17" borderId="0" xfId="1" applyFont="1" applyFill="1"/>
    <xf numFmtId="44" fontId="7" fillId="0" borderId="5" xfId="2" applyFont="1" applyBorder="1"/>
    <xf numFmtId="44" fontId="7" fillId="0" borderId="0" xfId="2" applyFont="1" applyFill="1"/>
    <xf numFmtId="43" fontId="7" fillId="0" borderId="0" xfId="1" applyFont="1"/>
    <xf numFmtId="44" fontId="7" fillId="0" borderId="0" xfId="2" applyFont="1" applyBorder="1"/>
    <xf numFmtId="44" fontId="7" fillId="0" borderId="4" xfId="2" applyFont="1" applyBorder="1"/>
    <xf numFmtId="166" fontId="2" fillId="0" borderId="0" xfId="0" applyNumberFormat="1" applyFont="1"/>
    <xf numFmtId="166" fontId="2" fillId="0" borderId="0" xfId="2" applyNumberFormat="1" applyFont="1"/>
    <xf numFmtId="166" fontId="2" fillId="0" borderId="4" xfId="2" applyNumberFormat="1" applyFont="1" applyBorder="1"/>
    <xf numFmtId="166" fontId="2" fillId="8" borderId="5" xfId="2" applyNumberFormat="1" applyFont="1" applyFill="1" applyBorder="1"/>
    <xf numFmtId="166" fontId="2" fillId="16" borderId="5" xfId="2" applyNumberFormat="1" applyFont="1" applyFill="1" applyBorder="1"/>
    <xf numFmtId="166" fontId="2" fillId="0" borderId="5" xfId="2" applyNumberFormat="1" applyFont="1" applyFill="1" applyBorder="1"/>
    <xf numFmtId="166" fontId="4" fillId="0" borderId="5" xfId="2" applyNumberFormat="1" applyFont="1" applyBorder="1"/>
    <xf numFmtId="166" fontId="4" fillId="0" borderId="7" xfId="2" applyNumberFormat="1" applyFont="1" applyBorder="1"/>
    <xf numFmtId="166" fontId="2" fillId="0" borderId="7" xfId="2" applyNumberFormat="1" applyFont="1" applyBorder="1"/>
    <xf numFmtId="166" fontId="2" fillId="16" borderId="7" xfId="2" applyNumberFormat="1" applyFont="1" applyFill="1" applyBorder="1"/>
    <xf numFmtId="166" fontId="7" fillId="0" borderId="7" xfId="2" applyNumberFormat="1" applyFont="1" applyFill="1" applyBorder="1"/>
    <xf numFmtId="166" fontId="4" fillId="0" borderId="7" xfId="2" applyNumberFormat="1" applyFont="1" applyFill="1" applyBorder="1"/>
    <xf numFmtId="166" fontId="2" fillId="0" borderId="7" xfId="2" applyNumberFormat="1" applyFont="1" applyFill="1" applyBorder="1"/>
    <xf numFmtId="166" fontId="2" fillId="0" borderId="0" xfId="2" applyNumberFormat="1" applyFont="1" applyFill="1" applyBorder="1"/>
    <xf numFmtId="166" fontId="4" fillId="0" borderId="0" xfId="2" applyNumberFormat="1" applyFont="1" applyFill="1" applyBorder="1"/>
    <xf numFmtId="166" fontId="7" fillId="0" borderId="0" xfId="2" applyNumberFormat="1" applyFont="1" applyFill="1" applyBorder="1"/>
    <xf numFmtId="166" fontId="2" fillId="0" borderId="0" xfId="2" applyNumberFormat="1" applyFont="1" applyFill="1"/>
    <xf numFmtId="166" fontId="2" fillId="2" borderId="5" xfId="2" applyNumberFormat="1" applyFont="1" applyFill="1" applyBorder="1"/>
    <xf numFmtId="166" fontId="2" fillId="0" borderId="5" xfId="2" applyNumberFormat="1" applyFont="1" applyBorder="1"/>
    <xf numFmtId="166" fontId="7" fillId="0" borderId="0" xfId="2" applyNumberFormat="1" applyFont="1"/>
    <xf numFmtId="166" fontId="7" fillId="0" borderId="0" xfId="2" applyNumberFormat="1" applyFont="1" applyFill="1"/>
    <xf numFmtId="166" fontId="7" fillId="0" borderId="5" xfId="2" applyNumberFormat="1" applyFont="1" applyBorder="1"/>
    <xf numFmtId="166" fontId="2" fillId="0" borderId="9" xfId="2" applyNumberFormat="1" applyFont="1" applyBorder="1"/>
    <xf numFmtId="166" fontId="2" fillId="8" borderId="8" xfId="2" applyNumberFormat="1" applyFont="1" applyFill="1" applyBorder="1"/>
    <xf numFmtId="166" fontId="2" fillId="0" borderId="8" xfId="2" applyNumberFormat="1" applyFont="1" applyFill="1" applyBorder="1"/>
    <xf numFmtId="166" fontId="2" fillId="0" borderId="8" xfId="2" applyNumberFormat="1" applyFont="1" applyBorder="1"/>
    <xf numFmtId="166" fontId="4" fillId="0" borderId="8" xfId="2" applyNumberFormat="1" applyFont="1" applyBorder="1"/>
    <xf numFmtId="166" fontId="2" fillId="15" borderId="8" xfId="2" applyNumberFormat="1" applyFont="1" applyFill="1" applyBorder="1"/>
    <xf numFmtId="166" fontId="5" fillId="8" borderId="5" xfId="2" applyNumberFormat="1" applyFont="1" applyFill="1" applyBorder="1"/>
    <xf numFmtId="166" fontId="4" fillId="0" borderId="0" xfId="2" applyNumberFormat="1" applyFont="1" applyBorder="1"/>
    <xf numFmtId="166" fontId="7" fillId="0" borderId="0" xfId="2" applyNumberFormat="1" applyFont="1" applyBorder="1"/>
    <xf numFmtId="166" fontId="4" fillId="0" borderId="0" xfId="2" applyNumberFormat="1" applyFont="1"/>
    <xf numFmtId="166" fontId="2" fillId="0" borderId="6" xfId="2" applyNumberFormat="1" applyFont="1" applyBorder="1"/>
    <xf numFmtId="166" fontId="7" fillId="0" borderId="8" xfId="2" applyNumberFormat="1" applyFont="1" applyBorder="1"/>
    <xf numFmtId="166" fontId="2" fillId="10" borderId="8" xfId="2" applyNumberFormat="1" applyFont="1" applyFill="1" applyBorder="1"/>
    <xf numFmtId="167" fontId="2" fillId="0" borderId="0" xfId="3" applyNumberFormat="1" applyFont="1"/>
    <xf numFmtId="167" fontId="2" fillId="0" borderId="5" xfId="3" applyNumberFormat="1" applyFont="1" applyFill="1" applyBorder="1"/>
    <xf numFmtId="167" fontId="2" fillId="0" borderId="7" xfId="3" applyNumberFormat="1" applyFont="1" applyFill="1" applyBorder="1"/>
    <xf numFmtId="167" fontId="2" fillId="0" borderId="0" xfId="3" applyNumberFormat="1" applyFont="1" applyFill="1" applyBorder="1"/>
    <xf numFmtId="167" fontId="2" fillId="0" borderId="0" xfId="3" applyNumberFormat="1" applyFont="1" applyBorder="1"/>
    <xf numFmtId="166" fontId="5" fillId="0" borderId="0" xfId="0" applyNumberFormat="1" applyFont="1"/>
    <xf numFmtId="166" fontId="13" fillId="0" borderId="0" xfId="0" applyNumberFormat="1" applyFont="1"/>
    <xf numFmtId="166" fontId="13" fillId="0" borderId="7" xfId="2" applyNumberFormat="1" applyFont="1" applyFill="1" applyBorder="1"/>
    <xf numFmtId="44" fontId="13" fillId="0" borderId="0" xfId="2" applyFont="1" applyBorder="1"/>
    <xf numFmtId="43" fontId="13" fillId="0" borderId="0" xfId="1" applyFont="1"/>
    <xf numFmtId="44" fontId="13" fillId="0" borderId="0" xfId="2" applyFont="1"/>
    <xf numFmtId="166" fontId="13" fillId="0" borderId="0" xfId="2" applyNumberFormat="1" applyFont="1" applyFill="1" applyBorder="1"/>
    <xf numFmtId="0" fontId="3" fillId="0" borderId="0" xfId="0" applyFont="1"/>
    <xf numFmtId="166" fontId="2" fillId="2" borderId="0" xfId="2" applyNumberFormat="1" applyFont="1" applyFill="1" applyBorder="1"/>
    <xf numFmtId="166" fontId="2" fillId="2" borderId="0" xfId="0" applyNumberFormat="1" applyFont="1" applyFill="1"/>
    <xf numFmtId="167" fontId="2" fillId="0" borderId="0" xfId="3" applyNumberFormat="1" applyFont="1" applyFill="1"/>
    <xf numFmtId="166" fontId="2" fillId="0" borderId="0" xfId="2" applyNumberFormat="1" applyFont="1" applyBorder="1"/>
    <xf numFmtId="44" fontId="2" fillId="15" borderId="0" xfId="2" applyFont="1" applyFill="1" applyBorder="1"/>
    <xf numFmtId="166" fontId="2" fillId="15" borderId="0" xfId="2" applyNumberFormat="1" applyFont="1" applyFill="1" applyBorder="1"/>
    <xf numFmtId="44" fontId="2" fillId="0" borderId="0" xfId="2" applyFont="1" applyFill="1" applyBorder="1"/>
    <xf numFmtId="44" fontId="3" fillId="0" borderId="0" xfId="2" applyFont="1" applyBorder="1"/>
    <xf numFmtId="43" fontId="3" fillId="0" borderId="0" xfId="1" applyFont="1" applyBorder="1"/>
    <xf numFmtId="44" fontId="4" fillId="0" borderId="0" xfId="2" applyFont="1" applyFill="1"/>
    <xf numFmtId="166" fontId="2" fillId="2" borderId="0" xfId="2" applyNumberFormat="1" applyFont="1" applyFill="1"/>
    <xf numFmtId="44" fontId="2" fillId="2" borderId="0" xfId="2" applyFont="1" applyFill="1" applyBorder="1"/>
    <xf numFmtId="44" fontId="2" fillId="18" borderId="0" xfId="2" applyFont="1" applyFill="1"/>
    <xf numFmtId="166" fontId="2" fillId="18" borderId="0" xfId="2" applyNumberFormat="1" applyFont="1" applyFill="1"/>
    <xf numFmtId="44" fontId="12" fillId="0" borderId="0" xfId="2" applyFont="1" applyFill="1"/>
    <xf numFmtId="166" fontId="2" fillId="2" borderId="8" xfId="2" applyNumberFormat="1" applyFont="1" applyFill="1" applyBorder="1"/>
    <xf numFmtId="166" fontId="2" fillId="14" borderId="0" xfId="2" applyNumberFormat="1" applyFont="1" applyFill="1" applyBorder="1"/>
    <xf numFmtId="166" fontId="2" fillId="14" borderId="0" xfId="0" applyNumberFormat="1" applyFont="1" applyFill="1"/>
    <xf numFmtId="166" fontId="2" fillId="15" borderId="0" xfId="0" applyNumberFormat="1" applyFont="1" applyFill="1"/>
    <xf numFmtId="44" fontId="2" fillId="19" borderId="0" xfId="2" applyFont="1" applyFill="1"/>
    <xf numFmtId="166" fontId="2" fillId="20" borderId="0" xfId="2" applyNumberFormat="1" applyFont="1" applyFill="1"/>
    <xf numFmtId="44" fontId="2" fillId="20" borderId="0" xfId="2" applyFont="1" applyFill="1"/>
    <xf numFmtId="166" fontId="5" fillId="0" borderId="0" xfId="2" applyNumberFormat="1" applyFont="1" applyFill="1" applyBorder="1"/>
    <xf numFmtId="167" fontId="5" fillId="0" borderId="0" xfId="3" applyNumberFormat="1" applyFont="1" applyFill="1" applyBorder="1"/>
    <xf numFmtId="167" fontId="5" fillId="0" borderId="0" xfId="3" applyNumberFormat="1" applyFont="1" applyFill="1"/>
    <xf numFmtId="166" fontId="5" fillId="0" borderId="0" xfId="2" applyNumberFormat="1" applyFont="1" applyFill="1"/>
    <xf numFmtId="44" fontId="5" fillId="0" borderId="0" xfId="2" applyFont="1" applyFill="1"/>
    <xf numFmtId="43" fontId="5" fillId="0" borderId="0" xfId="1" applyFont="1" applyFill="1"/>
    <xf numFmtId="44" fontId="5" fillId="0" borderId="0" xfId="2" applyFont="1" applyFill="1" applyBorder="1"/>
    <xf numFmtId="43" fontId="3" fillId="0" borderId="0" xfId="1" applyFont="1" applyFill="1"/>
    <xf numFmtId="167" fontId="2" fillId="0" borderId="4" xfId="3" applyNumberFormat="1" applyFont="1" applyFill="1" applyBorder="1"/>
    <xf numFmtId="167" fontId="2" fillId="0" borderId="9" xfId="3" applyNumberFormat="1" applyFont="1" applyFill="1" applyBorder="1"/>
    <xf numFmtId="167" fontId="2" fillId="0" borderId="8" xfId="3" applyNumberFormat="1" applyFont="1" applyFill="1" applyBorder="1"/>
    <xf numFmtId="167" fontId="2" fillId="0" borderId="6" xfId="3" applyNumberFormat="1" applyFont="1" applyFill="1" applyBorder="1"/>
    <xf numFmtId="43" fontId="2" fillId="0" borderId="4" xfId="1" applyFont="1" applyFill="1" applyBorder="1"/>
    <xf numFmtId="43" fontId="2" fillId="0" borderId="7" xfId="1" applyFont="1" applyFill="1" applyBorder="1"/>
    <xf numFmtId="43" fontId="2" fillId="0" borderId="8" xfId="1" applyFont="1" applyFill="1" applyBorder="1"/>
    <xf numFmtId="43" fontId="2" fillId="0" borderId="9" xfId="1" applyFont="1" applyFill="1" applyBorder="1"/>
    <xf numFmtId="43" fontId="2" fillId="0" borderId="6" xfId="1" applyFont="1" applyFill="1" applyBorder="1"/>
    <xf numFmtId="43" fontId="2" fillId="2" borderId="0" xfId="1" applyFont="1" applyFill="1"/>
    <xf numFmtId="44" fontId="2" fillId="14" borderId="0" xfId="2" applyFont="1" applyFill="1" applyBorder="1"/>
    <xf numFmtId="166" fontId="2" fillId="14" borderId="5" xfId="2" applyNumberFormat="1" applyFont="1" applyFill="1" applyBorder="1"/>
    <xf numFmtId="166" fontId="2" fillId="14" borderId="8" xfId="2" applyNumberFormat="1" applyFont="1" applyFill="1" applyBorder="1"/>
    <xf numFmtId="44" fontId="2" fillId="21" borderId="0" xfId="2" applyFont="1" applyFill="1"/>
    <xf numFmtId="166" fontId="2" fillId="15" borderId="0" xfId="2" applyNumberFormat="1" applyFont="1" applyFill="1"/>
    <xf numFmtId="43" fontId="2" fillId="15" borderId="0" xfId="1" applyFont="1" applyFill="1"/>
    <xf numFmtId="44" fontId="2" fillId="22" borderId="0" xfId="2" applyFont="1" applyFill="1"/>
    <xf numFmtId="44" fontId="2" fillId="22" borderId="0" xfId="2" applyFont="1" applyFill="1" applyBorder="1"/>
    <xf numFmtId="15" fontId="2" fillId="0" borderId="0" xfId="1" applyNumberFormat="1" applyFont="1"/>
    <xf numFmtId="44" fontId="2" fillId="23" borderId="0" xfId="2" applyFont="1" applyFill="1"/>
    <xf numFmtId="44" fontId="2" fillId="23" borderId="0" xfId="2" applyFont="1" applyFill="1" applyBorder="1"/>
    <xf numFmtId="166" fontId="2" fillId="14" borderId="0" xfId="2" applyNumberFormat="1" applyFont="1" applyFill="1"/>
    <xf numFmtId="44" fontId="12" fillId="8" borderId="0" xfId="2" applyFont="1" applyFill="1"/>
    <xf numFmtId="44" fontId="2" fillId="12" borderId="0" xfId="2" applyFont="1" applyFill="1" applyBorder="1"/>
    <xf numFmtId="166" fontId="2" fillId="19" borderId="5" xfId="2" applyNumberFormat="1" applyFont="1" applyFill="1" applyBorder="1"/>
    <xf numFmtId="44" fontId="2" fillId="24" borderId="0" xfId="2" applyFont="1" applyFill="1"/>
    <xf numFmtId="44" fontId="2" fillId="24" borderId="0" xfId="2" applyFont="1" applyFill="1" applyBorder="1"/>
    <xf numFmtId="44" fontId="2" fillId="25" borderId="0" xfId="2" applyFont="1" applyFill="1"/>
    <xf numFmtId="44" fontId="2" fillId="25" borderId="0" xfId="2" applyFont="1" applyFill="1" applyBorder="1"/>
    <xf numFmtId="43" fontId="5" fillId="0" borderId="0" xfId="1" applyFont="1" applyFill="1" applyBorder="1"/>
    <xf numFmtId="166" fontId="5" fillId="0" borderId="0" xfId="2" applyNumberFormat="1" applyFont="1" applyBorder="1"/>
    <xf numFmtId="44" fontId="5" fillId="26" borderId="0" xfId="2" applyFont="1" applyFill="1"/>
    <xf numFmtId="166" fontId="5" fillId="26" borderId="8" xfId="2" applyNumberFormat="1" applyFont="1" applyFill="1" applyBorder="1"/>
    <xf numFmtId="15" fontId="5" fillId="0" borderId="0" xfId="0" applyNumberFormat="1" applyFont="1"/>
    <xf numFmtId="44" fontId="5" fillId="2" borderId="0" xfId="2" applyFont="1" applyFill="1" applyBorder="1"/>
    <xf numFmtId="166" fontId="5" fillId="2" borderId="0" xfId="2" applyNumberFormat="1" applyFont="1" applyFill="1" applyBorder="1"/>
    <xf numFmtId="44" fontId="5" fillId="14" borderId="0" xfId="2" applyFont="1" applyFill="1" applyBorder="1"/>
    <xf numFmtId="44" fontId="5" fillId="15" borderId="0" xfId="2" applyFont="1" applyFill="1" applyBorder="1"/>
    <xf numFmtId="44" fontId="5" fillId="23" borderId="0" xfId="2" applyFont="1" applyFill="1"/>
    <xf numFmtId="166" fontId="2" fillId="19" borderId="0" xfId="2" applyNumberFormat="1" applyFont="1" applyFill="1"/>
    <xf numFmtId="44" fontId="2" fillId="27" borderId="0" xfId="2" applyFont="1" applyFill="1"/>
    <xf numFmtId="44" fontId="5" fillId="27" borderId="0" xfId="2" applyFont="1" applyFill="1"/>
    <xf numFmtId="166" fontId="2" fillId="28" borderId="8" xfId="2" applyNumberFormat="1" applyFont="1" applyFill="1" applyBorder="1"/>
    <xf numFmtId="44" fontId="2" fillId="28" borderId="5" xfId="2" applyFont="1" applyFill="1" applyBorder="1"/>
    <xf numFmtId="166" fontId="5" fillId="11" borderId="0" xfId="2" applyNumberFormat="1" applyFont="1" applyFill="1"/>
    <xf numFmtId="166" fontId="2" fillId="11" borderId="0" xfId="2" applyNumberFormat="1" applyFont="1" applyFill="1"/>
    <xf numFmtId="43" fontId="2" fillId="0" borderId="6" xfId="1" applyFont="1" applyBorder="1"/>
    <xf numFmtId="44" fontId="3" fillId="0" borderId="1" xfId="2" applyFont="1" applyBorder="1" applyAlignment="1">
      <alignment horizontal="center"/>
    </xf>
    <xf numFmtId="44" fontId="3" fillId="0" borderId="2" xfId="2" applyFont="1" applyBorder="1" applyAlignment="1">
      <alignment horizontal="center"/>
    </xf>
    <xf numFmtId="44" fontId="3" fillId="0" borderId="3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5" fontId="2" fillId="2" borderId="0" xfId="0" applyNumberFormat="1" applyFont="1" applyFill="1"/>
    <xf numFmtId="0" fontId="2" fillId="2" borderId="0" xfId="0" applyFont="1" applyFill="1"/>
    <xf numFmtId="44" fontId="4" fillId="2" borderId="0" xfId="2" applyFont="1" applyFill="1"/>
    <xf numFmtId="44" fontId="7" fillId="2" borderId="0" xfId="2" applyFont="1" applyFill="1"/>
    <xf numFmtId="167" fontId="2" fillId="2" borderId="0" xfId="3" applyNumberFormat="1" applyFont="1" applyFill="1"/>
    <xf numFmtId="44" fontId="13" fillId="2" borderId="0" xfId="2" applyFont="1" applyFill="1"/>
    <xf numFmtId="44" fontId="3" fillId="2" borderId="0" xfId="2" applyFont="1" applyFill="1"/>
    <xf numFmtId="43" fontId="3" fillId="2" borderId="0" xfId="1" applyFont="1" applyFill="1"/>
    <xf numFmtId="166" fontId="5" fillId="2" borderId="0" xfId="0" applyNumberFormat="1" applyFont="1" applyFill="1"/>
    <xf numFmtId="0" fontId="5" fillId="2" borderId="0" xfId="0" applyFont="1" applyFill="1"/>
    <xf numFmtId="167" fontId="2" fillId="2" borderId="0" xfId="3" applyNumberFormat="1" applyFont="1" applyFill="1" applyBorder="1"/>
    <xf numFmtId="43" fontId="2" fillId="2" borderId="0" xfId="1" applyFont="1" applyFill="1" applyBorder="1"/>
    <xf numFmtId="166" fontId="4" fillId="2" borderId="0" xfId="2" applyNumberFormat="1" applyFont="1" applyFill="1" applyBorder="1"/>
    <xf numFmtId="44" fontId="12" fillId="2" borderId="0" xfId="2" applyFont="1" applyFill="1"/>
    <xf numFmtId="15" fontId="5" fillId="2" borderId="0" xfId="0" applyNumberFormat="1" applyFont="1" applyFill="1"/>
    <xf numFmtId="43" fontId="5" fillId="2" borderId="0" xfId="1" applyFont="1" applyFill="1" applyBorder="1"/>
    <xf numFmtId="167" fontId="5" fillId="2" borderId="0" xfId="3" applyNumberFormat="1" applyFont="1" applyFill="1" applyBorder="1"/>
    <xf numFmtId="167" fontId="2" fillId="2" borderId="8" xfId="3" applyNumberFormat="1" applyFont="1" applyFill="1" applyBorder="1"/>
    <xf numFmtId="15" fontId="2" fillId="2" borderId="8" xfId="0" applyNumberFormat="1" applyFont="1" applyFill="1" applyBorder="1"/>
    <xf numFmtId="0" fontId="2" fillId="2" borderId="8" xfId="0" applyFont="1" applyFill="1" applyBorder="1"/>
    <xf numFmtId="44" fontId="2" fillId="2" borderId="8" xfId="2" applyFont="1" applyFill="1" applyBorder="1"/>
    <xf numFmtId="43" fontId="2" fillId="2" borderId="8" xfId="1" applyFont="1" applyFill="1" applyBorder="1"/>
    <xf numFmtId="15" fontId="2" fillId="0" borderId="0" xfId="0" applyNumberFormat="1" applyFont="1" applyFill="1"/>
    <xf numFmtId="0" fontId="2" fillId="2" borderId="5" xfId="0" applyFont="1" applyFill="1" applyBorder="1"/>
    <xf numFmtId="43" fontId="2" fillId="2" borderId="5" xfId="1" applyFont="1" applyFill="1" applyBorder="1"/>
    <xf numFmtId="167" fontId="2" fillId="2" borderId="5" xfId="3" applyNumberFormat="1" applyFont="1" applyFill="1" applyBorder="1"/>
    <xf numFmtId="15" fontId="2" fillId="18" borderId="0" xfId="0" applyNumberFormat="1" applyFont="1" applyFill="1"/>
    <xf numFmtId="0" fontId="2" fillId="18" borderId="0" xfId="0" applyFont="1" applyFill="1"/>
    <xf numFmtId="43" fontId="2" fillId="18" borderId="0" xfId="1" applyFont="1" applyFill="1"/>
    <xf numFmtId="44" fontId="12" fillId="18" borderId="0" xfId="2" applyFont="1" applyFill="1"/>
  </cellXfs>
  <cellStyles count="4">
    <cellStyle name="Comma" xfId="1" builtinId="3"/>
    <cellStyle name="Comma [0]" xfId="3" builtinId="6"/>
    <cellStyle name="Currency" xfId="2" builtinId="4"/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CCECFF"/>
      <color rgb="FFFF66FF"/>
      <color rgb="FFCC99FF"/>
      <color rgb="FF006600"/>
      <color rgb="FFFFCC66"/>
      <color rgb="FF66FF99"/>
      <color rgb="FF99FFCC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77"/>
  <sheetViews>
    <sheetView tabSelected="1" zoomScaleNormal="100" workbookViewId="0">
      <pane ySplit="5" topLeftCell="A6" activePane="bottomLeft" state="frozen"/>
      <selection pane="bottomLeft" activeCell="F7" sqref="F7"/>
    </sheetView>
  </sheetViews>
  <sheetFormatPr defaultRowHeight="15" customHeight="1" x14ac:dyDescent="0.2"/>
  <cols>
    <col min="1" max="1" width="12.7109375" style="2" customWidth="1"/>
    <col min="2" max="2" width="4.5703125" style="2" hidden="1" customWidth="1"/>
    <col min="3" max="3" width="40.7109375" style="1" customWidth="1"/>
    <col min="4" max="4" width="15.7109375" style="3" customWidth="1"/>
    <col min="5" max="5" width="20.7109375" style="32" customWidth="1"/>
    <col min="6" max="6" width="17.42578125" style="3" customWidth="1"/>
    <col min="7" max="7" width="20.7109375" style="32" customWidth="1"/>
    <col min="8" max="8" width="15.7109375" style="3" customWidth="1"/>
    <col min="9" max="9" width="20.7109375" style="4" customWidth="1"/>
    <col min="10" max="10" width="11" style="1" bestFit="1" customWidth="1"/>
    <col min="11" max="16384" width="9.140625" style="1"/>
  </cols>
  <sheetData>
    <row r="1" spans="1:9" ht="15" customHeight="1" x14ac:dyDescent="0.2">
      <c r="A1" s="5" t="s">
        <v>0</v>
      </c>
      <c r="B1" s="5"/>
    </row>
    <row r="2" spans="1:9" ht="15" customHeight="1" x14ac:dyDescent="0.2">
      <c r="A2" s="5" t="s">
        <v>1</v>
      </c>
      <c r="B2" s="5"/>
    </row>
    <row r="3" spans="1:9" ht="15" customHeight="1" x14ac:dyDescent="0.2">
      <c r="A3" s="5" t="s">
        <v>159</v>
      </c>
      <c r="B3" s="5"/>
    </row>
    <row r="5" spans="1:9" ht="15" customHeight="1" x14ac:dyDescent="0.2">
      <c r="A5" s="9" t="s">
        <v>3</v>
      </c>
      <c r="B5" s="9"/>
      <c r="C5" s="8" t="s">
        <v>5</v>
      </c>
      <c r="D5" s="227" t="s">
        <v>6</v>
      </c>
      <c r="E5" s="228"/>
      <c r="F5" s="227" t="s">
        <v>7</v>
      </c>
      <c r="G5" s="228"/>
      <c r="H5" s="226" t="s">
        <v>8</v>
      </c>
      <c r="I5" s="226"/>
    </row>
    <row r="6" spans="1:9" ht="15" customHeight="1" x14ac:dyDescent="0.2">
      <c r="C6" s="1" t="s">
        <v>13</v>
      </c>
      <c r="H6" s="3">
        <v>484647.31000000041</v>
      </c>
      <c r="I6" s="4">
        <v>7691065078.6200113</v>
      </c>
    </row>
    <row r="7" spans="1:9" s="258" customFormat="1" ht="15" customHeight="1" x14ac:dyDescent="0.2">
      <c r="A7" s="257">
        <v>44928</v>
      </c>
      <c r="B7" s="2"/>
      <c r="C7" s="258" t="s">
        <v>137</v>
      </c>
      <c r="D7" s="161"/>
      <c r="E7" s="259"/>
      <c r="F7" s="161">
        <v>268285.40999999997</v>
      </c>
      <c r="G7" s="259">
        <v>4076865090.3600001</v>
      </c>
      <c r="H7" s="162">
        <f>+H6+D7-F7</f>
        <v>216361.90000000043</v>
      </c>
      <c r="I7" s="259">
        <f>+I6+E7-G7</f>
        <v>3614199988.2600112</v>
      </c>
    </row>
    <row r="8" spans="1:9" s="232" customFormat="1" ht="15" customHeight="1" x14ac:dyDescent="0.2">
      <c r="A8" s="249">
        <v>44937</v>
      </c>
      <c r="B8" s="1"/>
      <c r="C8" s="250" t="s">
        <v>255</v>
      </c>
      <c r="D8" s="251"/>
      <c r="E8" s="252"/>
      <c r="F8" s="251">
        <v>16918</v>
      </c>
      <c r="G8" s="252">
        <v>263734702</v>
      </c>
      <c r="H8" s="16">
        <f>+H7+D8-F8</f>
        <v>199443.90000000043</v>
      </c>
      <c r="I8" s="188">
        <f>+I7+E8-G8</f>
        <v>3350465286.2600112</v>
      </c>
    </row>
    <row r="9" spans="1:9" s="232" customFormat="1" ht="15" customHeight="1" x14ac:dyDescent="0.2">
      <c r="A9" s="231">
        <v>44939</v>
      </c>
      <c r="B9" s="231"/>
      <c r="C9" s="232" t="s">
        <v>40</v>
      </c>
      <c r="D9" s="16">
        <v>131309.29999999999</v>
      </c>
      <c r="E9" s="188">
        <v>2049081626.5</v>
      </c>
      <c r="F9" s="16"/>
      <c r="G9" s="188"/>
      <c r="H9" s="16">
        <f t="shared" ref="H9" si="0">+H8+D9-F9</f>
        <v>330753.20000000042</v>
      </c>
      <c r="I9" s="188">
        <f>+I8+E9-G9</f>
        <v>5399546912.7600117</v>
      </c>
    </row>
    <row r="10" spans="1:9" s="232" customFormat="1" ht="15" customHeight="1" x14ac:dyDescent="0.2">
      <c r="A10" s="231">
        <v>44943</v>
      </c>
      <c r="B10" s="231"/>
      <c r="C10" s="232" t="s">
        <v>16</v>
      </c>
      <c r="D10" s="16">
        <v>179050.2</v>
      </c>
      <c r="E10" s="188">
        <v>2794078371</v>
      </c>
      <c r="F10" s="16"/>
      <c r="G10" s="188"/>
      <c r="H10" s="16">
        <f t="shared" ref="H10:H45" si="1">+H9+D10-F10</f>
        <v>509803.40000000043</v>
      </c>
      <c r="I10" s="188">
        <f>+I9+E10-G10</f>
        <v>8193625283.7600117</v>
      </c>
    </row>
    <row r="11" spans="1:9" s="232" customFormat="1" ht="15" customHeight="1" x14ac:dyDescent="0.2">
      <c r="A11" s="231">
        <v>44944</v>
      </c>
      <c r="B11" s="231"/>
      <c r="C11" s="232" t="s">
        <v>40</v>
      </c>
      <c r="D11" s="16">
        <v>135295.10999999999</v>
      </c>
      <c r="E11" s="188">
        <v>2089903564.1700001</v>
      </c>
      <c r="F11" s="16"/>
      <c r="G11" s="188"/>
      <c r="H11" s="16">
        <f t="shared" si="1"/>
        <v>645098.51000000047</v>
      </c>
      <c r="I11" s="188">
        <f>+I10+E11-G11</f>
        <v>10283528847.930012</v>
      </c>
    </row>
    <row r="12" spans="1:9" s="232" customFormat="1" ht="15" customHeight="1" x14ac:dyDescent="0.2">
      <c r="A12" s="231">
        <v>44946</v>
      </c>
      <c r="B12" s="231"/>
      <c r="C12" s="232" t="s">
        <v>32</v>
      </c>
      <c r="D12" s="16">
        <v>72921.350000000006</v>
      </c>
      <c r="E12" s="188">
        <v>1126416093.45</v>
      </c>
      <c r="F12" s="16"/>
      <c r="G12" s="188"/>
      <c r="H12" s="16">
        <f t="shared" si="1"/>
        <v>718019.86000000045</v>
      </c>
      <c r="I12" s="188">
        <f>+I11+E12-G12</f>
        <v>11409944941.380013</v>
      </c>
    </row>
    <row r="13" spans="1:9" s="232" customFormat="1" ht="15" customHeight="1" x14ac:dyDescent="0.2">
      <c r="A13" s="231">
        <v>44946</v>
      </c>
      <c r="B13" s="231"/>
      <c r="C13" s="232" t="s">
        <v>32</v>
      </c>
      <c r="D13" s="16">
        <v>72537.850000000006</v>
      </c>
      <c r="E13" s="188">
        <v>1120492168.95</v>
      </c>
      <c r="F13" s="16"/>
      <c r="G13" s="188"/>
      <c r="H13" s="16">
        <f t="shared" si="1"/>
        <v>790557.71000000043</v>
      </c>
      <c r="I13" s="188">
        <f>+I12+E13-G13</f>
        <v>12530437110.330013</v>
      </c>
    </row>
    <row r="14" spans="1:9" s="232" customFormat="1" ht="15" customHeight="1" x14ac:dyDescent="0.2">
      <c r="A14" s="231">
        <v>44946</v>
      </c>
      <c r="B14" s="231"/>
      <c r="C14" s="232" t="s">
        <v>32</v>
      </c>
      <c r="D14" s="16">
        <v>72768.55</v>
      </c>
      <c r="E14" s="188">
        <v>1124055791.8499999</v>
      </c>
      <c r="F14" s="16"/>
      <c r="G14" s="188"/>
      <c r="H14" s="16">
        <f t="shared" si="1"/>
        <v>863326.26000000047</v>
      </c>
      <c r="I14" s="188">
        <f t="shared" ref="I14:I46" si="2">+I13+E14-G14</f>
        <v>13654492902.180014</v>
      </c>
    </row>
    <row r="15" spans="1:9" s="232" customFormat="1" ht="15" customHeight="1" x14ac:dyDescent="0.2">
      <c r="A15" s="231">
        <v>44946</v>
      </c>
      <c r="B15" s="231"/>
      <c r="C15" s="232" t="s">
        <v>55</v>
      </c>
      <c r="D15" s="16">
        <v>240842.39</v>
      </c>
      <c r="E15" s="188">
        <v>3720292398.3299999</v>
      </c>
      <c r="F15" s="16"/>
      <c r="G15" s="188"/>
      <c r="H15" s="16">
        <f t="shared" si="1"/>
        <v>1104168.6500000004</v>
      </c>
      <c r="I15" s="188">
        <f t="shared" si="2"/>
        <v>17374785300.510014</v>
      </c>
    </row>
    <row r="16" spans="1:9" s="232" customFormat="1" ht="15" customHeight="1" x14ac:dyDescent="0.2">
      <c r="A16" s="231">
        <v>44946</v>
      </c>
      <c r="B16" s="231"/>
      <c r="C16" s="232" t="s">
        <v>32</v>
      </c>
      <c r="D16" s="16">
        <v>73049.570000000007</v>
      </c>
      <c r="E16" s="188">
        <v>1128396707.79</v>
      </c>
      <c r="F16" s="16"/>
      <c r="G16" s="188"/>
      <c r="H16" s="16">
        <f t="shared" si="1"/>
        <v>1177218.2200000004</v>
      </c>
      <c r="I16" s="188">
        <f t="shared" si="2"/>
        <v>18503182008.300014</v>
      </c>
    </row>
    <row r="17" spans="1:9" s="232" customFormat="1" ht="15" customHeight="1" x14ac:dyDescent="0.2">
      <c r="A17" s="231">
        <v>44951</v>
      </c>
      <c r="B17" s="231"/>
      <c r="C17" s="232" t="s">
        <v>16</v>
      </c>
      <c r="D17" s="16">
        <v>168632.75</v>
      </c>
      <c r="E17" s="188">
        <v>2547872219.75</v>
      </c>
      <c r="F17" s="16"/>
      <c r="G17" s="188"/>
      <c r="H17" s="16">
        <f t="shared" si="1"/>
        <v>1345850.9700000004</v>
      </c>
      <c r="I17" s="188">
        <f t="shared" si="2"/>
        <v>21051054228.050014</v>
      </c>
    </row>
    <row r="18" spans="1:9" s="232" customFormat="1" ht="15" customHeight="1" x14ac:dyDescent="0.2">
      <c r="A18" s="231">
        <v>44956</v>
      </c>
      <c r="B18" s="231"/>
      <c r="C18" s="232" t="s">
        <v>81</v>
      </c>
      <c r="D18" s="16">
        <v>135918.88</v>
      </c>
      <c r="E18" s="188">
        <v>2053598357.9200001</v>
      </c>
      <c r="F18" s="16"/>
      <c r="G18" s="188"/>
      <c r="H18" s="16">
        <f t="shared" si="1"/>
        <v>1481769.8500000006</v>
      </c>
      <c r="I18" s="188">
        <f t="shared" si="2"/>
        <v>23104652585.970016</v>
      </c>
    </row>
    <row r="19" spans="1:9" s="232" customFormat="1" ht="15" customHeight="1" x14ac:dyDescent="0.2">
      <c r="A19" s="231">
        <v>44936</v>
      </c>
      <c r="B19" s="231"/>
      <c r="C19" s="232" t="s">
        <v>138</v>
      </c>
      <c r="D19" s="16"/>
      <c r="E19" s="188"/>
      <c r="F19" s="16">
        <v>347645.95</v>
      </c>
      <c r="G19" s="188">
        <v>5414238025.3000002</v>
      </c>
      <c r="H19" s="16">
        <f t="shared" si="1"/>
        <v>1134123.9000000006</v>
      </c>
      <c r="I19" s="188">
        <f t="shared" si="2"/>
        <v>17690414560.670017</v>
      </c>
    </row>
    <row r="20" spans="1:9" s="232" customFormat="1" ht="15" customHeight="1" x14ac:dyDescent="0.2">
      <c r="A20" s="231">
        <v>44936</v>
      </c>
      <c r="B20" s="231"/>
      <c r="C20" s="232" t="s">
        <v>17</v>
      </c>
      <c r="D20" s="16"/>
      <c r="E20" s="188"/>
      <c r="F20" s="16">
        <v>37</v>
      </c>
      <c r="G20" s="188">
        <v>576238</v>
      </c>
      <c r="H20" s="16">
        <f t="shared" si="1"/>
        <v>1134086.9000000006</v>
      </c>
      <c r="I20" s="188">
        <f t="shared" si="2"/>
        <v>17689838322.670017</v>
      </c>
    </row>
    <row r="21" spans="1:9" s="232" customFormat="1" ht="15" customHeight="1" x14ac:dyDescent="0.2">
      <c r="A21" s="231">
        <v>44936</v>
      </c>
      <c r="B21" s="231"/>
      <c r="C21" s="232" t="s">
        <v>139</v>
      </c>
      <c r="D21" s="16"/>
      <c r="E21" s="188"/>
      <c r="F21" s="16">
        <v>111279.3</v>
      </c>
      <c r="G21" s="188">
        <v>1733063818.2</v>
      </c>
      <c r="H21" s="16">
        <f t="shared" si="1"/>
        <v>1022807.6000000006</v>
      </c>
      <c r="I21" s="188">
        <f t="shared" si="2"/>
        <v>15956774504.470016</v>
      </c>
    </row>
    <row r="22" spans="1:9" s="232" customFormat="1" ht="15" customHeight="1" x14ac:dyDescent="0.2">
      <c r="A22" s="231">
        <v>44936</v>
      </c>
      <c r="B22" s="231"/>
      <c r="C22" s="232" t="s">
        <v>17</v>
      </c>
      <c r="D22" s="16"/>
      <c r="E22" s="188"/>
      <c r="F22" s="16">
        <v>30</v>
      </c>
      <c r="G22" s="188">
        <v>467220</v>
      </c>
      <c r="H22" s="16">
        <f t="shared" si="1"/>
        <v>1022777.6000000006</v>
      </c>
      <c r="I22" s="188">
        <f t="shared" si="2"/>
        <v>15956307284.470016</v>
      </c>
    </row>
    <row r="23" spans="1:9" s="232" customFormat="1" ht="15" customHeight="1" x14ac:dyDescent="0.2">
      <c r="A23" s="231">
        <v>10</v>
      </c>
      <c r="B23" s="231"/>
      <c r="C23" s="232" t="s">
        <v>137</v>
      </c>
      <c r="D23" s="16"/>
      <c r="E23" s="188"/>
      <c r="F23" s="16">
        <f>10000+10000</f>
        <v>20000</v>
      </c>
      <c r="G23" s="188">
        <f>150110000+157010000</f>
        <v>307120000</v>
      </c>
      <c r="H23" s="16">
        <f t="shared" si="1"/>
        <v>1002777.6000000006</v>
      </c>
      <c r="I23" s="188">
        <f t="shared" si="2"/>
        <v>15649187284.470016</v>
      </c>
    </row>
    <row r="24" spans="1:9" s="232" customFormat="1" ht="15" customHeight="1" x14ac:dyDescent="0.2">
      <c r="A24" s="231">
        <v>44938</v>
      </c>
      <c r="B24" s="231"/>
      <c r="C24" s="232" t="s">
        <v>140</v>
      </c>
      <c r="D24" s="16"/>
      <c r="E24" s="188"/>
      <c r="F24" s="16">
        <v>191260.99</v>
      </c>
      <c r="G24" s="188">
        <v>2969709391.73</v>
      </c>
      <c r="H24" s="16">
        <f t="shared" si="1"/>
        <v>811516.61000000057</v>
      </c>
      <c r="I24" s="188">
        <f t="shared" si="2"/>
        <v>12679477892.740017</v>
      </c>
    </row>
    <row r="25" spans="1:9" s="232" customFormat="1" ht="15" customHeight="1" x14ac:dyDescent="0.2">
      <c r="A25" s="231">
        <v>44938</v>
      </c>
      <c r="B25" s="231"/>
      <c r="C25" s="232" t="s">
        <v>17</v>
      </c>
      <c r="D25" s="16"/>
      <c r="E25" s="188"/>
      <c r="F25" s="16">
        <v>55</v>
      </c>
      <c r="G25" s="188">
        <v>853985</v>
      </c>
      <c r="H25" s="16">
        <f t="shared" si="1"/>
        <v>811461.61000000057</v>
      </c>
      <c r="I25" s="188">
        <f t="shared" si="2"/>
        <v>12678623907.740017</v>
      </c>
    </row>
    <row r="26" spans="1:9" s="232" customFormat="1" ht="15" customHeight="1" x14ac:dyDescent="0.2">
      <c r="A26" s="231">
        <v>44938</v>
      </c>
      <c r="B26" s="231"/>
      <c r="C26" s="232" t="s">
        <v>137</v>
      </c>
      <c r="D26" s="16"/>
      <c r="E26" s="188"/>
      <c r="F26" s="16">
        <v>49526.400000000001</v>
      </c>
      <c r="G26" s="188">
        <v>736705695.26400006</v>
      </c>
      <c r="H26" s="16">
        <f t="shared" si="1"/>
        <v>761935.21000000054</v>
      </c>
      <c r="I26" s="188">
        <f t="shared" si="2"/>
        <v>11941918212.476017</v>
      </c>
    </row>
    <row r="27" spans="1:9" s="232" customFormat="1" ht="15" customHeight="1" x14ac:dyDescent="0.2">
      <c r="A27" s="231">
        <v>44939</v>
      </c>
      <c r="B27" s="231"/>
      <c r="C27" s="232" t="s">
        <v>141</v>
      </c>
      <c r="D27" s="16"/>
      <c r="E27" s="188"/>
      <c r="F27" s="16">
        <v>135843.88</v>
      </c>
      <c r="G27" s="188">
        <v>2087377060.0799999</v>
      </c>
      <c r="H27" s="16">
        <f t="shared" si="1"/>
        <v>626091.33000000054</v>
      </c>
      <c r="I27" s="188">
        <f t="shared" si="2"/>
        <v>9854541152.3960171</v>
      </c>
    </row>
    <row r="28" spans="1:9" s="232" customFormat="1" ht="15" customHeight="1" x14ac:dyDescent="0.2">
      <c r="A28" s="231">
        <v>44939</v>
      </c>
      <c r="B28" s="231"/>
      <c r="C28" s="232" t="s">
        <v>17</v>
      </c>
      <c r="D28" s="16"/>
      <c r="E28" s="188"/>
      <c r="F28" s="16">
        <v>75</v>
      </c>
      <c r="G28" s="188">
        <v>1152450</v>
      </c>
      <c r="H28" s="16">
        <f t="shared" si="1"/>
        <v>626016.33000000054</v>
      </c>
      <c r="I28" s="188">
        <f t="shared" si="2"/>
        <v>9853388702.3960171</v>
      </c>
    </row>
    <row r="29" spans="1:9" s="232" customFormat="1" ht="15" customHeight="1" x14ac:dyDescent="0.2">
      <c r="A29" s="231">
        <v>44943</v>
      </c>
      <c r="B29" s="231"/>
      <c r="C29" s="232" t="s">
        <v>142</v>
      </c>
      <c r="D29" s="16"/>
      <c r="E29" s="188"/>
      <c r="F29" s="16">
        <v>58006.55</v>
      </c>
      <c r="G29" s="188">
        <v>871200374.45000005</v>
      </c>
      <c r="H29" s="16">
        <f t="shared" si="1"/>
        <v>568009.78000000049</v>
      </c>
      <c r="I29" s="188">
        <f t="shared" si="2"/>
        <v>8982188327.9460163</v>
      </c>
    </row>
    <row r="30" spans="1:9" s="232" customFormat="1" ht="15" customHeight="1" x14ac:dyDescent="0.2">
      <c r="A30" s="231">
        <v>44943</v>
      </c>
      <c r="B30" s="231"/>
      <c r="C30" s="232" t="s">
        <v>17</v>
      </c>
      <c r="D30" s="16"/>
      <c r="E30" s="188"/>
      <c r="F30" s="16">
        <v>42</v>
      </c>
      <c r="G30" s="188">
        <v>630798</v>
      </c>
      <c r="H30" s="16">
        <f t="shared" si="1"/>
        <v>567967.78000000049</v>
      </c>
      <c r="I30" s="188">
        <f t="shared" si="2"/>
        <v>8981557529.9460163</v>
      </c>
    </row>
    <row r="31" spans="1:9" s="232" customFormat="1" ht="15" customHeight="1" x14ac:dyDescent="0.2">
      <c r="A31" s="231">
        <v>44943</v>
      </c>
      <c r="B31" s="231"/>
      <c r="C31" s="232" t="s">
        <v>137</v>
      </c>
      <c r="D31" s="16"/>
      <c r="E31" s="188"/>
      <c r="F31" s="16">
        <v>14720</v>
      </c>
      <c r="G31" s="188">
        <v>229573120</v>
      </c>
      <c r="H31" s="16">
        <f t="shared" si="1"/>
        <v>553247.78000000049</v>
      </c>
      <c r="I31" s="188">
        <f t="shared" si="2"/>
        <v>8751984409.9460163</v>
      </c>
    </row>
    <row r="32" spans="1:9" s="232" customFormat="1" ht="15" customHeight="1" x14ac:dyDescent="0.2">
      <c r="A32" s="231">
        <v>44944</v>
      </c>
      <c r="B32" s="231"/>
      <c r="C32" s="232" t="s">
        <v>144</v>
      </c>
      <c r="D32" s="16"/>
      <c r="E32" s="188"/>
      <c r="F32" s="16">
        <v>57775.85</v>
      </c>
      <c r="G32" s="188">
        <v>875535230.89999998</v>
      </c>
      <c r="H32" s="16">
        <f t="shared" si="1"/>
        <v>495471.93000000052</v>
      </c>
      <c r="I32" s="188">
        <f t="shared" si="2"/>
        <v>7876449179.0460167</v>
      </c>
    </row>
    <row r="33" spans="1:9" s="232" customFormat="1" ht="15" customHeight="1" x14ac:dyDescent="0.2">
      <c r="A33" s="231">
        <v>44944</v>
      </c>
      <c r="B33" s="231"/>
      <c r="C33" s="232" t="s">
        <v>17</v>
      </c>
      <c r="D33" s="16"/>
      <c r="E33" s="188"/>
      <c r="F33" s="16">
        <v>42</v>
      </c>
      <c r="G33" s="188">
        <v>636468</v>
      </c>
      <c r="H33" s="16">
        <f t="shared" si="1"/>
        <v>495429.93000000052</v>
      </c>
      <c r="I33" s="188">
        <f t="shared" si="2"/>
        <v>7875812711.0460167</v>
      </c>
    </row>
    <row r="34" spans="1:9" s="232" customFormat="1" ht="15" customHeight="1" x14ac:dyDescent="0.2">
      <c r="A34" s="231">
        <v>44944</v>
      </c>
      <c r="B34" s="231"/>
      <c r="C34" s="232" t="s">
        <v>137</v>
      </c>
      <c r="D34" s="16"/>
      <c r="E34" s="188"/>
      <c r="F34" s="16">
        <v>14720</v>
      </c>
      <c r="G34" s="188">
        <v>229573120</v>
      </c>
      <c r="H34" s="16">
        <f t="shared" si="1"/>
        <v>480709.93000000052</v>
      </c>
      <c r="I34" s="188">
        <f t="shared" si="2"/>
        <v>7646239591.0460167</v>
      </c>
    </row>
    <row r="35" spans="1:9" s="232" customFormat="1" ht="15" customHeight="1" x14ac:dyDescent="0.2">
      <c r="A35" s="231">
        <v>44944</v>
      </c>
      <c r="B35" s="231"/>
      <c r="C35" s="232" t="s">
        <v>143</v>
      </c>
      <c r="D35" s="16"/>
      <c r="E35" s="188"/>
      <c r="F35" s="16">
        <v>57887.57</v>
      </c>
      <c r="G35" s="188">
        <v>877228235.77999997</v>
      </c>
      <c r="H35" s="16">
        <f t="shared" si="1"/>
        <v>422822.36000000051</v>
      </c>
      <c r="I35" s="188">
        <f t="shared" si="2"/>
        <v>6769011355.266017</v>
      </c>
    </row>
    <row r="36" spans="1:9" s="232" customFormat="1" ht="15" customHeight="1" x14ac:dyDescent="0.2">
      <c r="A36" s="231">
        <v>44944</v>
      </c>
      <c r="B36" s="231"/>
      <c r="C36" s="232" t="s">
        <v>17</v>
      </c>
      <c r="D36" s="16"/>
      <c r="E36" s="188"/>
      <c r="F36" s="16">
        <v>42</v>
      </c>
      <c r="G36" s="188">
        <v>636468</v>
      </c>
      <c r="H36" s="16">
        <f t="shared" si="1"/>
        <v>422780.36000000051</v>
      </c>
      <c r="I36" s="188">
        <f t="shared" si="2"/>
        <v>6768374887.266017</v>
      </c>
    </row>
    <row r="37" spans="1:9" s="232" customFormat="1" ht="15" customHeight="1" x14ac:dyDescent="0.2">
      <c r="A37" s="231">
        <v>44944</v>
      </c>
      <c r="B37" s="231"/>
      <c r="C37" s="232" t="s">
        <v>137</v>
      </c>
      <c r="D37" s="16"/>
      <c r="E37" s="188"/>
      <c r="F37" s="16">
        <v>15120</v>
      </c>
      <c r="G37" s="188">
        <v>235811520</v>
      </c>
      <c r="H37" s="16">
        <f t="shared" si="1"/>
        <v>407660.36000000051</v>
      </c>
      <c r="I37" s="188">
        <f t="shared" si="2"/>
        <v>6532563367.266017</v>
      </c>
    </row>
    <row r="38" spans="1:9" s="232" customFormat="1" ht="15" customHeight="1" x14ac:dyDescent="0.2">
      <c r="A38" s="231">
        <v>44945</v>
      </c>
      <c r="B38" s="231"/>
      <c r="C38" s="232" t="s">
        <v>145</v>
      </c>
      <c r="D38" s="16"/>
      <c r="E38" s="188"/>
      <c r="F38" s="16">
        <v>105676.31</v>
      </c>
      <c r="G38" s="188">
        <v>1599622304.47</v>
      </c>
      <c r="H38" s="16">
        <f t="shared" si="1"/>
        <v>301984.05000000051</v>
      </c>
      <c r="I38" s="188">
        <f t="shared" si="2"/>
        <v>4932941062.7960167</v>
      </c>
    </row>
    <row r="39" spans="1:9" s="232" customFormat="1" ht="15" customHeight="1" x14ac:dyDescent="0.2">
      <c r="A39" s="231">
        <v>44945</v>
      </c>
      <c r="B39" s="231"/>
      <c r="C39" s="232" t="s">
        <v>17</v>
      </c>
      <c r="D39" s="16"/>
      <c r="E39" s="188"/>
      <c r="F39" s="16">
        <v>30</v>
      </c>
      <c r="G39" s="188">
        <v>454110</v>
      </c>
      <c r="H39" s="16">
        <f t="shared" si="1"/>
        <v>301954.05000000051</v>
      </c>
      <c r="I39" s="188">
        <f t="shared" si="2"/>
        <v>4932486952.7960167</v>
      </c>
    </row>
    <row r="40" spans="1:9" s="232" customFormat="1" ht="15" customHeight="1" x14ac:dyDescent="0.2">
      <c r="A40" s="231">
        <v>44945</v>
      </c>
      <c r="B40" s="231"/>
      <c r="C40" s="232" t="s">
        <v>137</v>
      </c>
      <c r="D40" s="16"/>
      <c r="E40" s="188"/>
      <c r="F40" s="16">
        <v>29588.799999999999</v>
      </c>
      <c r="G40" s="188">
        <v>464573748.80000001</v>
      </c>
      <c r="H40" s="16">
        <f t="shared" si="1"/>
        <v>272365.25000000052</v>
      </c>
      <c r="I40" s="188">
        <f t="shared" si="2"/>
        <v>4467913203.9960165</v>
      </c>
    </row>
    <row r="41" spans="1:9" s="232" customFormat="1" ht="15" customHeight="1" x14ac:dyDescent="0.2">
      <c r="A41" s="231">
        <v>44946</v>
      </c>
      <c r="B41" s="231"/>
      <c r="C41" s="232" t="s">
        <v>146</v>
      </c>
      <c r="D41" s="16"/>
      <c r="E41" s="188"/>
      <c r="F41" s="16">
        <v>57707.35</v>
      </c>
      <c r="G41" s="188">
        <v>872131180.54999995</v>
      </c>
      <c r="H41" s="16">
        <f t="shared" si="1"/>
        <v>214657.90000000052</v>
      </c>
      <c r="I41" s="188">
        <f t="shared" si="2"/>
        <v>3595782023.4460163</v>
      </c>
    </row>
    <row r="42" spans="1:9" s="232" customFormat="1" ht="15" customHeight="1" x14ac:dyDescent="0.2">
      <c r="A42" s="231">
        <v>44946</v>
      </c>
      <c r="B42" s="231"/>
      <c r="C42" s="232" t="s">
        <v>17</v>
      </c>
      <c r="D42" s="16"/>
      <c r="E42" s="188"/>
      <c r="F42" s="16">
        <v>42</v>
      </c>
      <c r="G42" s="188">
        <v>634746</v>
      </c>
      <c r="H42" s="16">
        <f t="shared" si="1"/>
        <v>214615.90000000052</v>
      </c>
      <c r="I42" s="188">
        <f t="shared" si="2"/>
        <v>3595147277.4460163</v>
      </c>
    </row>
    <row r="43" spans="1:9" s="232" customFormat="1" ht="15" customHeight="1" x14ac:dyDescent="0.2">
      <c r="A43" s="231">
        <v>44946</v>
      </c>
      <c r="B43" s="231"/>
      <c r="C43" s="232" t="s">
        <v>137</v>
      </c>
      <c r="D43" s="16"/>
      <c r="E43" s="188"/>
      <c r="F43" s="16">
        <v>15172</v>
      </c>
      <c r="G43" s="188">
        <v>235059796</v>
      </c>
      <c r="H43" s="16">
        <f t="shared" si="1"/>
        <v>199443.90000000052</v>
      </c>
      <c r="I43" s="188">
        <f t="shared" si="2"/>
        <v>3360087481.4460163</v>
      </c>
    </row>
    <row r="44" spans="1:9" s="232" customFormat="1" ht="15" customHeight="1" x14ac:dyDescent="0.2">
      <c r="A44" s="231">
        <v>44957</v>
      </c>
      <c r="B44" s="231"/>
      <c r="C44" s="232" t="s">
        <v>147</v>
      </c>
      <c r="D44" s="16"/>
      <c r="E44" s="188"/>
      <c r="F44" s="233">
        <v>201609.21</v>
      </c>
      <c r="G44" s="188">
        <v>3019904356.5900002</v>
      </c>
      <c r="H44" s="16">
        <f t="shared" si="1"/>
        <v>-2165.3099999994738</v>
      </c>
      <c r="I44" s="188">
        <f t="shared" si="2"/>
        <v>340183124.85601616</v>
      </c>
    </row>
    <row r="45" spans="1:9" s="232" customFormat="1" ht="15" customHeight="1" x14ac:dyDescent="0.2">
      <c r="A45" s="231">
        <v>44957</v>
      </c>
      <c r="B45" s="231"/>
      <c r="C45" s="232" t="s">
        <v>17</v>
      </c>
      <c r="D45" s="16"/>
      <c r="E45" s="188"/>
      <c r="F45" s="233">
        <v>75</v>
      </c>
      <c r="G45" s="188">
        <v>1123425</v>
      </c>
      <c r="H45" s="16">
        <f t="shared" si="1"/>
        <v>-2240.3099999994738</v>
      </c>
      <c r="I45" s="188">
        <f t="shared" si="2"/>
        <v>339059699.85601616</v>
      </c>
    </row>
    <row r="46" spans="1:9" s="232" customFormat="1" ht="15" customHeight="1" x14ac:dyDescent="0.2">
      <c r="A46" s="231">
        <v>44957</v>
      </c>
      <c r="B46" s="2"/>
      <c r="C46" s="232" t="s">
        <v>18</v>
      </c>
      <c r="D46" s="16"/>
      <c r="E46" s="188"/>
      <c r="F46" s="16"/>
      <c r="G46" s="188">
        <f>9622195.19-8628180+12341129</f>
        <v>13335144.189999999</v>
      </c>
      <c r="H46" s="237">
        <f>+H45+D46-F46</f>
        <v>-2240.3099999994738</v>
      </c>
      <c r="I46" s="238">
        <f t="shared" si="2"/>
        <v>325724555.66601616</v>
      </c>
    </row>
    <row r="47" spans="1:9" ht="15" customHeight="1" x14ac:dyDescent="0.2">
      <c r="A47" s="1"/>
      <c r="B47" s="1"/>
      <c r="D47" s="1"/>
      <c r="E47" s="1"/>
      <c r="F47" s="1"/>
      <c r="G47" s="1"/>
      <c r="H47" s="3">
        <f>+H46+D7-F7</f>
        <v>-270525.71999999945</v>
      </c>
      <c r="I47" s="4">
        <f>+I46+E7-G7</f>
        <v>-3751140534.693984</v>
      </c>
    </row>
    <row r="48" spans="1:9" ht="15" customHeight="1" x14ac:dyDescent="0.2">
      <c r="H48" s="3">
        <f>+H46+UM!H240</f>
        <v>-1403165.4099999997</v>
      </c>
      <c r="I48" s="4">
        <f>+I46+UM!I240</f>
        <v>-21159536873.349995</v>
      </c>
    </row>
    <row r="49" spans="1:9" ht="15" customHeight="1" x14ac:dyDescent="0.2">
      <c r="H49" s="3">
        <f>+H48-H50</f>
        <v>-268285.41000000015</v>
      </c>
      <c r="I49" s="4">
        <f>+I48-I50</f>
        <v>-4080578039.3577919</v>
      </c>
    </row>
    <row r="50" spans="1:9" ht="15" customHeight="1" x14ac:dyDescent="0.2">
      <c r="H50" s="3">
        <v>-1134879.9999999995</v>
      </c>
      <c r="I50" s="4">
        <v>-17078958833.992203</v>
      </c>
    </row>
    <row r="52" spans="1:9" s="232" customFormat="1" ht="15" customHeight="1" x14ac:dyDescent="0.2">
      <c r="A52" s="231">
        <v>44959</v>
      </c>
      <c r="B52" s="231"/>
      <c r="C52" s="232" t="s">
        <v>40</v>
      </c>
      <c r="D52" s="233">
        <v>197662.88</v>
      </c>
      <c r="E52" s="188">
        <v>2956641359.04</v>
      </c>
      <c r="F52" s="16"/>
      <c r="G52" s="188"/>
      <c r="H52" s="16">
        <f>+H46+D52-F52</f>
        <v>195422.57000000053</v>
      </c>
      <c r="I52" s="188">
        <f>+I46+E52-G52</f>
        <v>3282365914.7060161</v>
      </c>
    </row>
    <row r="53" spans="1:9" s="232" customFormat="1" ht="15" customHeight="1" x14ac:dyDescent="0.2">
      <c r="A53" s="231">
        <v>44963</v>
      </c>
      <c r="B53" s="231"/>
      <c r="C53" s="232" t="s">
        <v>81</v>
      </c>
      <c r="D53" s="233">
        <v>224550.21</v>
      </c>
      <c r="E53" s="188">
        <v>3358822041.1799998</v>
      </c>
      <c r="F53" s="16"/>
      <c r="G53" s="188"/>
      <c r="H53" s="16">
        <f>+H52+D53-F53</f>
        <v>419972.78000000049</v>
      </c>
      <c r="I53" s="188">
        <f>+I52+E53-G53</f>
        <v>6641187955.8860159</v>
      </c>
    </row>
    <row r="54" spans="1:9" s="232" customFormat="1" ht="15" customHeight="1" x14ac:dyDescent="0.2">
      <c r="A54" s="231">
        <v>44966</v>
      </c>
      <c r="B54" s="231"/>
      <c r="C54" s="232" t="s">
        <v>166</v>
      </c>
      <c r="D54" s="233">
        <v>289170.52</v>
      </c>
      <c r="E54" s="188">
        <v>4321942591.9200001</v>
      </c>
      <c r="F54" s="16"/>
      <c r="G54" s="188"/>
      <c r="H54" s="16">
        <f t="shared" ref="H54:H73" si="3">+H53+D54-F54</f>
        <v>709143.30000000051</v>
      </c>
      <c r="I54" s="188">
        <f t="shared" ref="I54:I64" si="4">+I53+E54-G54</f>
        <v>10963130547.806015</v>
      </c>
    </row>
    <row r="55" spans="1:9" s="232" customFormat="1" ht="15" customHeight="1" x14ac:dyDescent="0.2">
      <c r="A55" s="231">
        <v>44974</v>
      </c>
      <c r="B55" s="231"/>
      <c r="C55" s="232" t="s">
        <v>40</v>
      </c>
      <c r="D55" s="233">
        <v>271073.77</v>
      </c>
      <c r="E55" s="188">
        <v>4097551107.3200002</v>
      </c>
      <c r="F55" s="16"/>
      <c r="G55" s="188"/>
      <c r="H55" s="16">
        <f t="shared" si="3"/>
        <v>980217.07000000053</v>
      </c>
      <c r="I55" s="188">
        <f t="shared" si="4"/>
        <v>15060681655.126015</v>
      </c>
    </row>
    <row r="56" spans="1:9" s="232" customFormat="1" ht="15" customHeight="1" x14ac:dyDescent="0.2">
      <c r="A56" s="231">
        <v>44980</v>
      </c>
      <c r="B56" s="231"/>
      <c r="C56" s="232" t="s">
        <v>40</v>
      </c>
      <c r="D56" s="233">
        <v>337788.75</v>
      </c>
      <c r="E56" s="188">
        <v>5131348901.25</v>
      </c>
      <c r="F56" s="16"/>
      <c r="G56" s="188"/>
      <c r="H56" s="16">
        <f t="shared" si="3"/>
        <v>1318005.8200000005</v>
      </c>
      <c r="I56" s="188">
        <f t="shared" si="4"/>
        <v>20192030556.376015</v>
      </c>
    </row>
    <row r="57" spans="1:9" s="232" customFormat="1" ht="15" customHeight="1" x14ac:dyDescent="0.2">
      <c r="A57" s="231">
        <v>44981</v>
      </c>
      <c r="B57" s="231"/>
      <c r="C57" s="232" t="s">
        <v>32</v>
      </c>
      <c r="D57" s="234">
        <v>75983.31</v>
      </c>
      <c r="E57" s="188">
        <v>1154262462.21</v>
      </c>
      <c r="F57" s="16"/>
      <c r="G57" s="188"/>
      <c r="H57" s="16">
        <f t="shared" si="3"/>
        <v>1393989.1300000006</v>
      </c>
      <c r="I57" s="188">
        <f t="shared" si="4"/>
        <v>21346293018.586014</v>
      </c>
    </row>
    <row r="58" spans="1:9" s="232" customFormat="1" ht="15" customHeight="1" x14ac:dyDescent="0.2">
      <c r="A58" s="231">
        <v>44958</v>
      </c>
      <c r="B58" s="231"/>
      <c r="C58" s="232" t="s">
        <v>174</v>
      </c>
      <c r="D58" s="16"/>
      <c r="E58" s="188"/>
      <c r="F58" s="233">
        <v>167632.88</v>
      </c>
      <c r="G58" s="188">
        <v>2513152136.96</v>
      </c>
      <c r="H58" s="16">
        <f t="shared" si="3"/>
        <v>1226356.2500000005</v>
      </c>
      <c r="I58" s="188">
        <f t="shared" si="4"/>
        <v>18833140881.626015</v>
      </c>
    </row>
    <row r="59" spans="1:9" s="232" customFormat="1" ht="15" customHeight="1" x14ac:dyDescent="0.2">
      <c r="A59" s="231">
        <v>44958</v>
      </c>
      <c r="B59" s="231"/>
      <c r="C59" s="232" t="s">
        <v>17</v>
      </c>
      <c r="D59" s="16"/>
      <c r="E59" s="188"/>
      <c r="F59" s="233">
        <v>30</v>
      </c>
      <c r="G59" s="188">
        <v>449760</v>
      </c>
      <c r="H59" s="16">
        <f t="shared" si="3"/>
        <v>1226326.2500000005</v>
      </c>
      <c r="I59" s="188">
        <f t="shared" si="4"/>
        <v>18832691121.626015</v>
      </c>
    </row>
    <row r="60" spans="1:9" s="232" customFormat="1" ht="15" customHeight="1" x14ac:dyDescent="0.2">
      <c r="A60" s="231">
        <v>44958</v>
      </c>
      <c r="B60" s="231"/>
      <c r="C60" s="232" t="s">
        <v>176</v>
      </c>
      <c r="D60" s="16"/>
      <c r="E60" s="188"/>
      <c r="F60" s="233">
        <v>30000</v>
      </c>
      <c r="G60" s="188">
        <v>469260000</v>
      </c>
      <c r="H60" s="16">
        <f t="shared" si="3"/>
        <v>1196326.2500000005</v>
      </c>
      <c r="I60" s="188">
        <f t="shared" si="4"/>
        <v>18363431121.626015</v>
      </c>
    </row>
    <row r="61" spans="1:9" s="232" customFormat="1" ht="15" customHeight="1" x14ac:dyDescent="0.2">
      <c r="A61" s="231">
        <v>44966</v>
      </c>
      <c r="B61" s="231"/>
      <c r="C61" s="232" t="s">
        <v>181</v>
      </c>
      <c r="D61" s="16"/>
      <c r="E61" s="188"/>
      <c r="F61" s="233">
        <v>216869.72</v>
      </c>
      <c r="G61" s="188">
        <v>3279503905.8400002</v>
      </c>
      <c r="H61" s="16">
        <f t="shared" si="3"/>
        <v>979456.53000000049</v>
      </c>
      <c r="I61" s="188">
        <f t="shared" si="4"/>
        <v>15083927215.786015</v>
      </c>
    </row>
    <row r="62" spans="1:9" s="232" customFormat="1" ht="15" customHeight="1" x14ac:dyDescent="0.2">
      <c r="A62" s="231">
        <v>44966</v>
      </c>
      <c r="B62" s="231"/>
      <c r="C62" s="232" t="s">
        <v>17</v>
      </c>
      <c r="D62" s="16"/>
      <c r="E62" s="188"/>
      <c r="F62" s="233">
        <v>30</v>
      </c>
      <c r="G62" s="188">
        <v>453660</v>
      </c>
      <c r="H62" s="16">
        <f t="shared" si="3"/>
        <v>979426.53000000049</v>
      </c>
      <c r="I62" s="188">
        <f t="shared" si="4"/>
        <v>15083473555.786015</v>
      </c>
    </row>
    <row r="63" spans="1:9" s="232" customFormat="1" ht="15" customHeight="1" x14ac:dyDescent="0.2">
      <c r="A63" s="231">
        <v>44966</v>
      </c>
      <c r="B63" s="231"/>
      <c r="C63" s="232" t="s">
        <v>176</v>
      </c>
      <c r="D63" s="16"/>
      <c r="E63" s="188"/>
      <c r="F63" s="233">
        <v>72270.8</v>
      </c>
      <c r="G63" s="188">
        <v>1119089008.4000001</v>
      </c>
      <c r="H63" s="16">
        <f t="shared" si="3"/>
        <v>907155.73000000045</v>
      </c>
      <c r="I63" s="188">
        <f t="shared" si="4"/>
        <v>13964384547.386015</v>
      </c>
    </row>
    <row r="64" spans="1:9" s="232" customFormat="1" ht="15" customHeight="1" x14ac:dyDescent="0.2">
      <c r="A64" s="231">
        <v>44963</v>
      </c>
      <c r="B64" s="231"/>
      <c r="C64" s="232" t="s">
        <v>176</v>
      </c>
      <c r="D64" s="16"/>
      <c r="E64" s="188"/>
      <c r="F64" s="233">
        <v>22866</v>
      </c>
      <c r="G64" s="188">
        <v>347471736</v>
      </c>
      <c r="H64" s="16">
        <f t="shared" si="3"/>
        <v>884289.73000000045</v>
      </c>
      <c r="I64" s="188">
        <f t="shared" si="4"/>
        <v>13616912811.386015</v>
      </c>
    </row>
    <row r="65" spans="1:9" s="232" customFormat="1" ht="15" customHeight="1" x14ac:dyDescent="0.2">
      <c r="A65" s="231">
        <v>44973</v>
      </c>
      <c r="B65" s="231"/>
      <c r="C65" s="232" t="s">
        <v>183</v>
      </c>
      <c r="D65" s="16"/>
      <c r="E65" s="188"/>
      <c r="F65" s="233">
        <v>227043.77</v>
      </c>
      <c r="G65" s="188">
        <v>3449703041.3800001</v>
      </c>
      <c r="H65" s="16">
        <f t="shared" si="3"/>
        <v>657245.96000000043</v>
      </c>
      <c r="I65" s="188">
        <f t="shared" ref="I65:I71" si="5">+I64+E65-G65</f>
        <v>10167209770.006016</v>
      </c>
    </row>
    <row r="66" spans="1:9" s="232" customFormat="1" ht="15" customHeight="1" x14ac:dyDescent="0.2">
      <c r="A66" s="231">
        <v>44973</v>
      </c>
      <c r="B66" s="231"/>
      <c r="C66" s="232" t="s">
        <v>17</v>
      </c>
      <c r="D66" s="16"/>
      <c r="E66" s="188"/>
      <c r="F66" s="233">
        <v>30</v>
      </c>
      <c r="G66" s="188">
        <v>455820</v>
      </c>
      <c r="H66" s="16">
        <f t="shared" si="3"/>
        <v>657215.96000000043</v>
      </c>
      <c r="I66" s="188">
        <f t="shared" si="5"/>
        <v>10166753950.006016</v>
      </c>
    </row>
    <row r="67" spans="1:9" s="232" customFormat="1" ht="15" customHeight="1" x14ac:dyDescent="0.2">
      <c r="A67" s="231">
        <v>44973</v>
      </c>
      <c r="B67" s="231"/>
      <c r="C67" s="232" t="s">
        <v>176</v>
      </c>
      <c r="D67" s="16"/>
      <c r="E67" s="188"/>
      <c r="F67" s="233">
        <v>44000</v>
      </c>
      <c r="G67" s="188">
        <v>686040000</v>
      </c>
      <c r="H67" s="16">
        <f t="shared" si="3"/>
        <v>613215.96000000043</v>
      </c>
      <c r="I67" s="188">
        <f t="shared" si="5"/>
        <v>9480713950.0060158</v>
      </c>
    </row>
    <row r="68" spans="1:9" s="232" customFormat="1" ht="15" customHeight="1" x14ac:dyDescent="0.2">
      <c r="A68" s="231">
        <v>44980</v>
      </c>
      <c r="B68" s="231"/>
      <c r="C68" s="232" t="s">
        <v>185</v>
      </c>
      <c r="D68" s="16"/>
      <c r="E68" s="188"/>
      <c r="F68" s="233">
        <v>130864.07</v>
      </c>
      <c r="G68" s="188">
        <v>1991489417.26</v>
      </c>
      <c r="H68" s="16">
        <f t="shared" si="3"/>
        <v>482351.89000000042</v>
      </c>
      <c r="I68" s="188">
        <f t="shared" si="5"/>
        <v>7489224532.7460155</v>
      </c>
    </row>
    <row r="69" spans="1:9" s="232" customFormat="1" ht="15" customHeight="1" x14ac:dyDescent="0.2">
      <c r="A69" s="231">
        <v>44980</v>
      </c>
      <c r="B69" s="231"/>
      <c r="C69" s="232" t="s">
        <v>17</v>
      </c>
      <c r="D69" s="16"/>
      <c r="E69" s="188"/>
      <c r="F69" s="233">
        <v>30</v>
      </c>
      <c r="G69" s="188">
        <v>456540</v>
      </c>
      <c r="H69" s="16">
        <f t="shared" si="3"/>
        <v>482321.89000000042</v>
      </c>
      <c r="I69" s="188">
        <f t="shared" si="5"/>
        <v>7488767992.7460155</v>
      </c>
    </row>
    <row r="70" spans="1:9" s="232" customFormat="1" ht="15" customHeight="1" x14ac:dyDescent="0.2">
      <c r="A70" s="231">
        <v>44981</v>
      </c>
      <c r="B70" s="231"/>
      <c r="C70" s="232" t="s">
        <v>185</v>
      </c>
      <c r="D70" s="16"/>
      <c r="E70" s="188"/>
      <c r="F70" s="233">
        <v>130864.08</v>
      </c>
      <c r="G70" s="188">
        <v>1987432782.96</v>
      </c>
      <c r="H70" s="16">
        <f t="shared" si="3"/>
        <v>351457.81000000041</v>
      </c>
      <c r="I70" s="188">
        <f t="shared" si="5"/>
        <v>5501335209.7860155</v>
      </c>
    </row>
    <row r="71" spans="1:9" s="232" customFormat="1" ht="15" customHeight="1" x14ac:dyDescent="0.2">
      <c r="A71" s="231">
        <v>44981</v>
      </c>
      <c r="B71" s="231"/>
      <c r="C71" s="232" t="s">
        <v>17</v>
      </c>
      <c r="D71" s="16"/>
      <c r="E71" s="188"/>
      <c r="F71" s="233">
        <v>30</v>
      </c>
      <c r="G71" s="188">
        <v>455610</v>
      </c>
      <c r="H71" s="16">
        <f t="shared" si="3"/>
        <v>351427.81000000041</v>
      </c>
      <c r="I71" s="188">
        <f t="shared" si="5"/>
        <v>5500879599.7860155</v>
      </c>
    </row>
    <row r="72" spans="1:9" s="232" customFormat="1" ht="15" customHeight="1" x14ac:dyDescent="0.2">
      <c r="A72" s="231">
        <v>44981</v>
      </c>
      <c r="B72" s="231"/>
      <c r="C72" s="232" t="s">
        <v>176</v>
      </c>
      <c r="D72" s="16"/>
      <c r="E72" s="188"/>
      <c r="F72" s="233">
        <v>76000.600000000006</v>
      </c>
      <c r="G72" s="188">
        <v>1182729385.2</v>
      </c>
      <c r="H72" s="16">
        <f t="shared" si="3"/>
        <v>275427.21000000043</v>
      </c>
      <c r="I72" s="188">
        <f t="shared" ref="I72:I73" si="6">+I71+E72-G72</f>
        <v>4318150214.5860157</v>
      </c>
    </row>
    <row r="73" spans="1:9" s="232" customFormat="1" ht="15" customHeight="1" x14ac:dyDescent="0.2">
      <c r="A73" s="231">
        <v>44985</v>
      </c>
      <c r="B73" s="1"/>
      <c r="C73" s="232" t="s">
        <v>18</v>
      </c>
      <c r="D73" s="16"/>
      <c r="E73" s="188">
        <v>182864584.88</v>
      </c>
      <c r="H73" s="237">
        <f t="shared" si="3"/>
        <v>275427.21000000043</v>
      </c>
      <c r="I73" s="238">
        <f t="shared" si="6"/>
        <v>4501014799.4660158</v>
      </c>
    </row>
    <row r="74" spans="1:9" ht="15" customHeight="1" x14ac:dyDescent="0.2">
      <c r="A74" s="1"/>
      <c r="B74" s="1"/>
      <c r="F74" s="1"/>
      <c r="G74" s="1"/>
    </row>
    <row r="75" spans="1:9" ht="15" customHeight="1" x14ac:dyDescent="0.2">
      <c r="H75" s="3">
        <f>+H73+UM!H268</f>
        <v>-1391748.1599999995</v>
      </c>
      <c r="I75" s="4">
        <f>+I73+UM!I268</f>
        <v>-20921520204.479996</v>
      </c>
    </row>
    <row r="76" spans="1:9" ht="15" customHeight="1" x14ac:dyDescent="0.2">
      <c r="H76" s="3">
        <f>+H75-H78</f>
        <v>10000.000000000233</v>
      </c>
      <c r="I76" s="4">
        <f>+I75-I78</f>
        <v>139827050.99820709</v>
      </c>
    </row>
    <row r="78" spans="1:9" ht="15" customHeight="1" x14ac:dyDescent="0.2">
      <c r="H78" s="3">
        <v>-1401748.1599999997</v>
      </c>
      <c r="I78" s="4">
        <v>-21061347255.478203</v>
      </c>
    </row>
    <row r="81" spans="1:9" s="232" customFormat="1" ht="15" customHeight="1" x14ac:dyDescent="0.2">
      <c r="A81" s="231">
        <v>44987</v>
      </c>
      <c r="B81" s="231"/>
      <c r="C81" s="232" t="s">
        <v>196</v>
      </c>
      <c r="D81" s="234">
        <v>71784.66</v>
      </c>
      <c r="E81" s="188">
        <v>1090696124.04</v>
      </c>
      <c r="F81" s="16"/>
      <c r="G81" s="188"/>
      <c r="H81" s="16">
        <f>+H73+D81-F81</f>
        <v>347211.87000000046</v>
      </c>
      <c r="I81" s="188">
        <f>+I73+E81-G81</f>
        <v>5591710923.5060158</v>
      </c>
    </row>
    <row r="82" spans="1:9" s="232" customFormat="1" ht="15" customHeight="1" x14ac:dyDescent="0.2">
      <c r="A82" s="231">
        <v>44988</v>
      </c>
      <c r="B82" s="231"/>
      <c r="C82" s="232" t="s">
        <v>81</v>
      </c>
      <c r="D82" s="234">
        <v>150782.67000000001</v>
      </c>
      <c r="E82" s="188">
        <v>2290991887.98</v>
      </c>
      <c r="F82" s="16"/>
      <c r="G82" s="188"/>
      <c r="H82" s="16">
        <f>+H81+D82-F82</f>
        <v>497994.5400000005</v>
      </c>
      <c r="I82" s="188">
        <f>+I81+E82-G82</f>
        <v>7882702811.4860153</v>
      </c>
    </row>
    <row r="83" spans="1:9" s="232" customFormat="1" ht="15" customHeight="1" x14ac:dyDescent="0.2">
      <c r="A83" s="231">
        <v>44993</v>
      </c>
      <c r="B83" s="231"/>
      <c r="C83" s="232" t="s">
        <v>16</v>
      </c>
      <c r="D83" s="234">
        <v>82943.55</v>
      </c>
      <c r="E83" s="188">
        <v>1266465064.95</v>
      </c>
      <c r="F83" s="16"/>
      <c r="G83" s="188"/>
      <c r="H83" s="16">
        <f t="shared" ref="H83:H111" si="7">+H82+D83-F83</f>
        <v>580938.09000000055</v>
      </c>
      <c r="I83" s="188">
        <f t="shared" ref="I83:I111" si="8">+I82+E83-G83</f>
        <v>9149167876.4360161</v>
      </c>
    </row>
    <row r="84" spans="1:9" s="232" customFormat="1" ht="15" customHeight="1" x14ac:dyDescent="0.2">
      <c r="A84" s="231">
        <v>45002</v>
      </c>
      <c r="B84" s="231"/>
      <c r="C84" s="232" t="s">
        <v>32</v>
      </c>
      <c r="D84" s="234">
        <v>75311.759999999995</v>
      </c>
      <c r="E84" s="188">
        <v>1160102351.04</v>
      </c>
      <c r="F84" s="16"/>
      <c r="G84" s="188"/>
      <c r="H84" s="16">
        <f t="shared" si="7"/>
        <v>656249.85000000056</v>
      </c>
      <c r="I84" s="188">
        <f t="shared" si="8"/>
        <v>10309270227.476017</v>
      </c>
    </row>
    <row r="85" spans="1:9" s="232" customFormat="1" ht="15" customHeight="1" x14ac:dyDescent="0.2">
      <c r="A85" s="231">
        <v>45005</v>
      </c>
      <c r="B85" s="231"/>
      <c r="C85" s="232" t="s">
        <v>16</v>
      </c>
      <c r="D85" s="234">
        <v>84064.95</v>
      </c>
      <c r="E85" s="188">
        <v>1294936489.8</v>
      </c>
      <c r="F85" s="16"/>
      <c r="G85" s="188"/>
      <c r="H85" s="16">
        <f t="shared" si="7"/>
        <v>740314.80000000051</v>
      </c>
      <c r="I85" s="188">
        <f t="shared" si="8"/>
        <v>11604206717.276016</v>
      </c>
    </row>
    <row r="86" spans="1:9" s="232" customFormat="1" ht="15" customHeight="1" x14ac:dyDescent="0.2">
      <c r="A86" s="231">
        <v>45006</v>
      </c>
      <c r="B86" s="231"/>
      <c r="C86" s="232" t="s">
        <v>16</v>
      </c>
      <c r="D86" s="234">
        <v>81488.399999999994</v>
      </c>
      <c r="E86" s="188">
        <v>1255247313.5999999</v>
      </c>
      <c r="F86" s="16"/>
      <c r="G86" s="188"/>
      <c r="H86" s="16">
        <f t="shared" si="7"/>
        <v>821803.20000000054</v>
      </c>
      <c r="I86" s="188">
        <f t="shared" si="8"/>
        <v>12859454030.876017</v>
      </c>
    </row>
    <row r="87" spans="1:9" s="232" customFormat="1" ht="15" customHeight="1" x14ac:dyDescent="0.2">
      <c r="A87" s="231">
        <v>45006</v>
      </c>
      <c r="B87" s="231"/>
      <c r="C87" s="232" t="s">
        <v>16</v>
      </c>
      <c r="D87" s="234">
        <v>77612.45</v>
      </c>
      <c r="E87" s="188">
        <v>1195542179.8</v>
      </c>
      <c r="F87" s="16"/>
      <c r="G87" s="188"/>
      <c r="H87" s="16">
        <f t="shared" si="7"/>
        <v>899415.65000000049</v>
      </c>
      <c r="I87" s="188">
        <f t="shared" si="8"/>
        <v>14054996210.676016</v>
      </c>
    </row>
    <row r="88" spans="1:9" s="232" customFormat="1" ht="15" customHeight="1" x14ac:dyDescent="0.2">
      <c r="A88" s="231">
        <v>45009</v>
      </c>
      <c r="B88" s="231"/>
      <c r="C88" s="232" t="s">
        <v>40</v>
      </c>
      <c r="D88" s="234">
        <v>265052.59999999998</v>
      </c>
      <c r="E88" s="188">
        <v>4076774040.5999994</v>
      </c>
      <c r="F88" s="16"/>
      <c r="G88" s="188"/>
      <c r="H88" s="16">
        <f t="shared" si="7"/>
        <v>1164468.2500000005</v>
      </c>
      <c r="I88" s="188">
        <f t="shared" si="8"/>
        <v>18131770251.276016</v>
      </c>
    </row>
    <row r="89" spans="1:9" s="232" customFormat="1" ht="15" customHeight="1" x14ac:dyDescent="0.2">
      <c r="A89" s="231">
        <v>45012</v>
      </c>
      <c r="B89" s="231"/>
      <c r="C89" s="232" t="s">
        <v>166</v>
      </c>
      <c r="D89" s="234">
        <v>139948.91</v>
      </c>
      <c r="E89" s="188">
        <v>2152554184.71</v>
      </c>
      <c r="F89" s="16"/>
      <c r="G89" s="188"/>
      <c r="H89" s="16">
        <f t="shared" si="7"/>
        <v>1304417.1600000004</v>
      </c>
      <c r="I89" s="188">
        <f t="shared" si="8"/>
        <v>20284324435.986015</v>
      </c>
    </row>
    <row r="90" spans="1:9" s="232" customFormat="1" ht="15" customHeight="1" x14ac:dyDescent="0.2">
      <c r="A90" s="231">
        <v>45015</v>
      </c>
      <c r="B90" s="231"/>
      <c r="C90" s="232" t="s">
        <v>40</v>
      </c>
      <c r="D90" s="236">
        <v>132166.01</v>
      </c>
      <c r="E90" s="188">
        <v>2022668617.0400002</v>
      </c>
      <c r="F90" s="16"/>
      <c r="G90" s="188"/>
      <c r="H90" s="16">
        <f t="shared" si="7"/>
        <v>1436583.1700000004</v>
      </c>
      <c r="I90" s="188">
        <f t="shared" si="8"/>
        <v>22306993053.026016</v>
      </c>
    </row>
    <row r="91" spans="1:9" s="232" customFormat="1" ht="15" customHeight="1" x14ac:dyDescent="0.2">
      <c r="A91" s="231">
        <v>45016</v>
      </c>
      <c r="B91" s="231"/>
      <c r="C91" s="232" t="s">
        <v>81</v>
      </c>
      <c r="D91" s="16">
        <v>282536.67</v>
      </c>
      <c r="E91" s="188">
        <v>4323941197.6799994</v>
      </c>
      <c r="F91" s="16"/>
      <c r="G91" s="188"/>
      <c r="H91" s="16">
        <f t="shared" si="7"/>
        <v>1719119.8400000003</v>
      </c>
      <c r="I91" s="188">
        <f t="shared" si="8"/>
        <v>26630934250.706017</v>
      </c>
    </row>
    <row r="92" spans="1:9" s="232" customFormat="1" ht="15" customHeight="1" x14ac:dyDescent="0.2">
      <c r="A92" s="231">
        <v>44986</v>
      </c>
      <c r="B92" s="231"/>
      <c r="C92" s="232" t="s">
        <v>206</v>
      </c>
      <c r="D92" s="16"/>
      <c r="E92" s="188"/>
      <c r="F92" s="234">
        <v>61169.31</v>
      </c>
      <c r="G92" s="188">
        <v>932220284.39999998</v>
      </c>
      <c r="H92" s="16">
        <f t="shared" si="7"/>
        <v>1657950.5300000003</v>
      </c>
      <c r="I92" s="188">
        <f t="shared" si="8"/>
        <v>25698713966.306015</v>
      </c>
    </row>
    <row r="93" spans="1:9" s="232" customFormat="1" ht="15" customHeight="1" x14ac:dyDescent="0.2">
      <c r="A93" s="231">
        <v>44986</v>
      </c>
      <c r="B93" s="231"/>
      <c r="C93" s="232" t="s">
        <v>17</v>
      </c>
      <c r="D93" s="16"/>
      <c r="E93" s="188"/>
      <c r="F93" s="234">
        <v>42</v>
      </c>
      <c r="G93" s="188">
        <v>640080</v>
      </c>
      <c r="H93" s="16">
        <f t="shared" si="7"/>
        <v>1657908.5300000003</v>
      </c>
      <c r="I93" s="188">
        <f t="shared" si="8"/>
        <v>25698073886.306015</v>
      </c>
    </row>
    <row r="94" spans="1:9" s="232" customFormat="1" ht="15" customHeight="1" x14ac:dyDescent="0.2">
      <c r="A94" s="231">
        <v>44986</v>
      </c>
      <c r="B94" s="231"/>
      <c r="C94" s="232" t="s">
        <v>176</v>
      </c>
      <c r="D94" s="16"/>
      <c r="E94" s="188"/>
      <c r="F94" s="234">
        <v>14772</v>
      </c>
      <c r="G94" s="188">
        <v>227621748</v>
      </c>
      <c r="H94" s="16">
        <f t="shared" si="7"/>
        <v>1643136.5300000003</v>
      </c>
      <c r="I94" s="188">
        <f t="shared" si="8"/>
        <v>25470452138.306015</v>
      </c>
    </row>
    <row r="95" spans="1:9" s="232" customFormat="1" ht="15" customHeight="1" x14ac:dyDescent="0.2">
      <c r="A95" s="231">
        <v>45006</v>
      </c>
      <c r="B95" s="231"/>
      <c r="C95" s="232" t="s">
        <v>176</v>
      </c>
      <c r="D95" s="16"/>
      <c r="E95" s="188"/>
      <c r="F95" s="234">
        <v>159100.85</v>
      </c>
      <c r="G95" s="188">
        <v>2416264608.9499998</v>
      </c>
      <c r="H95" s="16">
        <f t="shared" si="7"/>
        <v>1484035.6800000002</v>
      </c>
      <c r="I95" s="188">
        <f t="shared" si="8"/>
        <v>23054187529.356014</v>
      </c>
    </row>
    <row r="96" spans="1:9" s="232" customFormat="1" ht="15" customHeight="1" x14ac:dyDescent="0.2">
      <c r="A96" s="231">
        <v>44995</v>
      </c>
      <c r="B96" s="2"/>
      <c r="C96" s="232" t="s">
        <v>176</v>
      </c>
      <c r="D96" s="16"/>
      <c r="E96" s="188"/>
      <c r="F96" s="234">
        <v>59323.31</v>
      </c>
      <c r="G96" s="188">
        <v>915833259.77999997</v>
      </c>
      <c r="H96" s="16">
        <f t="shared" ref="H96:H97" si="9">+H95+D96-F96</f>
        <v>1424712.37</v>
      </c>
      <c r="I96" s="188">
        <f t="shared" ref="I96:I97" si="10">+I95+E96-G96</f>
        <v>22138354269.576015</v>
      </c>
    </row>
    <row r="97" spans="1:9" s="232" customFormat="1" ht="15" customHeight="1" x14ac:dyDescent="0.2">
      <c r="A97" s="231">
        <v>44993</v>
      </c>
      <c r="B97" s="231"/>
      <c r="C97" s="232" t="s">
        <v>176</v>
      </c>
      <c r="D97" s="16"/>
      <c r="E97" s="188"/>
      <c r="F97" s="234">
        <v>82943.55</v>
      </c>
      <c r="G97" s="188">
        <v>1248715145.25</v>
      </c>
      <c r="H97" s="16">
        <f t="shared" si="9"/>
        <v>1341768.82</v>
      </c>
      <c r="I97" s="188">
        <f t="shared" si="10"/>
        <v>20889639124.326015</v>
      </c>
    </row>
    <row r="98" spans="1:9" s="232" customFormat="1" ht="15" customHeight="1" x14ac:dyDescent="0.2">
      <c r="A98" s="231">
        <v>45005</v>
      </c>
      <c r="B98" s="231"/>
      <c r="C98" s="232" t="s">
        <v>176</v>
      </c>
      <c r="D98" s="16"/>
      <c r="E98" s="188"/>
      <c r="F98" s="234">
        <v>84064.95</v>
      </c>
      <c r="G98" s="188">
        <v>1265597822.25</v>
      </c>
      <c r="H98" s="16">
        <f t="shared" si="7"/>
        <v>1257703.8700000001</v>
      </c>
      <c r="I98" s="188">
        <f t="shared" si="8"/>
        <v>19624041302.076015</v>
      </c>
    </row>
    <row r="99" spans="1:9" s="232" customFormat="1" ht="15" customHeight="1" x14ac:dyDescent="0.2">
      <c r="A99" s="231">
        <v>45009</v>
      </c>
      <c r="B99" s="231"/>
      <c r="C99" s="232" t="s">
        <v>219</v>
      </c>
      <c r="D99" s="16"/>
      <c r="E99" s="188"/>
      <c r="F99" s="234">
        <v>222854.6</v>
      </c>
      <c r="G99" s="188">
        <v>3420595255.4000001</v>
      </c>
      <c r="H99" s="16">
        <f t="shared" si="7"/>
        <v>1034849.2700000001</v>
      </c>
      <c r="I99" s="188">
        <f t="shared" si="8"/>
        <v>16203446046.676016</v>
      </c>
    </row>
    <row r="100" spans="1:9" s="232" customFormat="1" ht="15" customHeight="1" x14ac:dyDescent="0.2">
      <c r="A100" s="231">
        <v>45009</v>
      </c>
      <c r="B100" s="231"/>
      <c r="C100" s="232" t="s">
        <v>17</v>
      </c>
      <c r="D100" s="16"/>
      <c r="E100" s="188"/>
      <c r="F100" s="234">
        <v>30</v>
      </c>
      <c r="G100" s="188">
        <v>460470</v>
      </c>
      <c r="H100" s="16">
        <f t="shared" si="7"/>
        <v>1034819.2700000001</v>
      </c>
      <c r="I100" s="188">
        <f t="shared" si="8"/>
        <v>16202985576.676016</v>
      </c>
    </row>
    <row r="101" spans="1:9" s="232" customFormat="1" ht="15" customHeight="1" x14ac:dyDescent="0.2">
      <c r="A101" s="231">
        <v>45009</v>
      </c>
      <c r="B101" s="231"/>
      <c r="C101" s="232" t="s">
        <v>176</v>
      </c>
      <c r="D101" s="16"/>
      <c r="E101" s="188"/>
      <c r="F101" s="234">
        <v>42168</v>
      </c>
      <c r="G101" s="188">
        <v>643903488</v>
      </c>
      <c r="H101" s="16">
        <f t="shared" si="7"/>
        <v>992651.27000000014</v>
      </c>
      <c r="I101" s="188">
        <f t="shared" si="8"/>
        <v>15559082088.676016</v>
      </c>
    </row>
    <row r="102" spans="1:9" s="232" customFormat="1" ht="15" customHeight="1" x14ac:dyDescent="0.2">
      <c r="A102" s="231">
        <v>45009</v>
      </c>
      <c r="B102" s="231"/>
      <c r="C102" s="232" t="s">
        <v>176</v>
      </c>
      <c r="D102" s="16"/>
      <c r="E102" s="188"/>
      <c r="F102" s="234">
        <v>150782.67000000001</v>
      </c>
      <c r="G102" s="188">
        <v>2287071538.5599999</v>
      </c>
      <c r="H102" s="16">
        <f t="shared" si="7"/>
        <v>841868.60000000009</v>
      </c>
      <c r="I102" s="188">
        <f t="shared" si="8"/>
        <v>13272010550.116016</v>
      </c>
    </row>
    <row r="103" spans="1:9" s="232" customFormat="1" ht="15" customHeight="1" x14ac:dyDescent="0.2">
      <c r="A103" s="231">
        <v>45009</v>
      </c>
      <c r="C103" s="232" t="s">
        <v>255</v>
      </c>
      <c r="D103" s="16"/>
      <c r="E103" s="188"/>
      <c r="F103" s="244">
        <v>59419.5</v>
      </c>
      <c r="G103" s="188">
        <v>912029905.5</v>
      </c>
      <c r="H103" s="16">
        <f t="shared" ref="H103:H105" si="11">+H102+D103-F103</f>
        <v>782449.10000000009</v>
      </c>
      <c r="I103" s="188">
        <f t="shared" ref="I103:I105" si="12">+I102+E103-G103</f>
        <v>12359980644.616016</v>
      </c>
    </row>
    <row r="104" spans="1:9" s="232" customFormat="1" ht="15" customHeight="1" x14ac:dyDescent="0.2">
      <c r="A104" s="231">
        <v>45009</v>
      </c>
      <c r="B104" s="254"/>
      <c r="C104" s="254" t="s">
        <v>255</v>
      </c>
      <c r="D104" s="61"/>
      <c r="E104" s="255"/>
      <c r="F104" s="118">
        <v>15172</v>
      </c>
      <c r="G104" s="256">
        <v>235059796</v>
      </c>
      <c r="H104" s="16">
        <f t="shared" si="11"/>
        <v>767277.10000000009</v>
      </c>
      <c r="I104" s="188">
        <f t="shared" si="12"/>
        <v>12124920848.616016</v>
      </c>
    </row>
    <row r="105" spans="1:9" s="232" customFormat="1" ht="15" customHeight="1" x14ac:dyDescent="0.2">
      <c r="A105" s="231">
        <v>45015</v>
      </c>
      <c r="B105" s="231"/>
      <c r="C105" s="232" t="s">
        <v>225</v>
      </c>
      <c r="D105" s="16"/>
      <c r="E105" s="188"/>
      <c r="F105" s="234">
        <v>115918.91</v>
      </c>
      <c r="G105" s="188">
        <v>1749680027.54</v>
      </c>
      <c r="H105" s="16">
        <f t="shared" si="11"/>
        <v>651358.19000000006</v>
      </c>
      <c r="I105" s="188">
        <f t="shared" si="12"/>
        <v>10375240821.076015</v>
      </c>
    </row>
    <row r="106" spans="1:9" s="232" customFormat="1" ht="15" customHeight="1" x14ac:dyDescent="0.2">
      <c r="A106" s="231">
        <v>45015</v>
      </c>
      <c r="B106" s="231"/>
      <c r="C106" s="232" t="s">
        <v>17</v>
      </c>
      <c r="D106" s="16"/>
      <c r="E106" s="188"/>
      <c r="F106" s="234">
        <v>30</v>
      </c>
      <c r="G106" s="188">
        <v>452820</v>
      </c>
      <c r="H106" s="16">
        <f t="shared" si="7"/>
        <v>651328.19000000006</v>
      </c>
      <c r="I106" s="188">
        <f t="shared" si="8"/>
        <v>10374788001.076015</v>
      </c>
    </row>
    <row r="107" spans="1:9" s="232" customFormat="1" ht="15" customHeight="1" x14ac:dyDescent="0.2">
      <c r="A107" s="231">
        <v>45015</v>
      </c>
      <c r="B107" s="231"/>
      <c r="C107" s="232" t="s">
        <v>176</v>
      </c>
      <c r="D107" s="16"/>
      <c r="E107" s="188"/>
      <c r="F107" s="234">
        <v>24000</v>
      </c>
      <c r="G107" s="188">
        <v>375408000</v>
      </c>
      <c r="H107" s="16">
        <f t="shared" si="7"/>
        <v>627328.19000000006</v>
      </c>
      <c r="I107" s="188">
        <f t="shared" si="8"/>
        <v>9999380001.0760155</v>
      </c>
    </row>
    <row r="108" spans="1:9" s="232" customFormat="1" ht="15" customHeight="1" x14ac:dyDescent="0.2">
      <c r="A108" s="231">
        <v>45005</v>
      </c>
      <c r="B108" s="231"/>
      <c r="C108" s="232" t="s">
        <v>227</v>
      </c>
      <c r="D108" s="16"/>
      <c r="E108" s="188"/>
      <c r="F108" s="234">
        <v>60497.760000000002</v>
      </c>
      <c r="G108" s="188">
        <v>929487584.63999999</v>
      </c>
      <c r="H108" s="16">
        <f t="shared" si="7"/>
        <v>566830.43000000005</v>
      </c>
      <c r="I108" s="188">
        <f t="shared" si="8"/>
        <v>9069892416.4360161</v>
      </c>
    </row>
    <row r="109" spans="1:9" s="232" customFormat="1" ht="15" customHeight="1" x14ac:dyDescent="0.2">
      <c r="A109" s="231">
        <v>45005</v>
      </c>
      <c r="B109" s="231"/>
      <c r="C109" s="232" t="s">
        <v>17</v>
      </c>
      <c r="D109" s="16"/>
      <c r="E109" s="188"/>
      <c r="F109" s="234">
        <v>42</v>
      </c>
      <c r="G109" s="188">
        <v>645288</v>
      </c>
      <c r="H109" s="16">
        <f t="shared" si="7"/>
        <v>566788.43000000005</v>
      </c>
      <c r="I109" s="188">
        <f t="shared" si="8"/>
        <v>9069247128.4360161</v>
      </c>
    </row>
    <row r="110" spans="1:9" s="232" customFormat="1" ht="15" customHeight="1" x14ac:dyDescent="0.2">
      <c r="A110" s="231">
        <v>45005</v>
      </c>
      <c r="B110" s="231"/>
      <c r="C110" s="232" t="s">
        <v>176</v>
      </c>
      <c r="D110" s="16"/>
      <c r="E110" s="188"/>
      <c r="F110" s="234">
        <v>14772</v>
      </c>
      <c r="G110" s="188">
        <v>227621748</v>
      </c>
      <c r="H110" s="16">
        <f t="shared" si="7"/>
        <v>552016.43000000005</v>
      </c>
      <c r="I110" s="188">
        <f t="shared" si="8"/>
        <v>8841625380.4360161</v>
      </c>
    </row>
    <row r="111" spans="1:9" s="232" customFormat="1" ht="15" customHeight="1" x14ac:dyDescent="0.2">
      <c r="A111" s="231">
        <v>44987</v>
      </c>
      <c r="B111" s="231"/>
      <c r="C111" s="232" t="s">
        <v>176</v>
      </c>
      <c r="D111" s="16"/>
      <c r="E111" s="188"/>
      <c r="F111" s="234">
        <v>71784.66</v>
      </c>
      <c r="G111" s="188">
        <v>1101182481.0799999</v>
      </c>
      <c r="H111" s="16">
        <f t="shared" si="7"/>
        <v>480231.77</v>
      </c>
      <c r="I111" s="188">
        <f t="shared" si="8"/>
        <v>7740442899.3560162</v>
      </c>
    </row>
    <row r="112" spans="1:9" s="232" customFormat="1" ht="15" customHeight="1" x14ac:dyDescent="0.2">
      <c r="A112" s="231">
        <v>44987</v>
      </c>
      <c r="B112" s="231"/>
      <c r="C112" s="232" t="s">
        <v>176</v>
      </c>
      <c r="D112" s="16"/>
      <c r="E112" s="188"/>
      <c r="F112" s="234">
        <v>282536.67</v>
      </c>
      <c r="G112" s="188">
        <v>4464349315.4499998</v>
      </c>
      <c r="H112" s="16">
        <f t="shared" ref="H112:H113" si="13">+H111+D112-F112</f>
        <v>197695.10000000003</v>
      </c>
      <c r="I112" s="188">
        <f t="shared" ref="I112:I113" si="14">+I111+E112-G112</f>
        <v>3276093583.9060163</v>
      </c>
    </row>
    <row r="113" spans="1:9" s="232" customFormat="1" ht="15" customHeight="1" x14ac:dyDescent="0.2">
      <c r="A113" s="231">
        <v>45016</v>
      </c>
      <c r="B113" s="2"/>
      <c r="C113" s="232" t="s">
        <v>18</v>
      </c>
      <c r="D113" s="16"/>
      <c r="E113" s="188">
        <f>30404409.11+22324473</f>
        <v>52728882.109999999</v>
      </c>
      <c r="F113" s="16"/>
      <c r="G113" s="188"/>
      <c r="H113" s="237">
        <f t="shared" si="13"/>
        <v>197695.10000000003</v>
      </c>
      <c r="I113" s="238">
        <f t="shared" si="14"/>
        <v>3328822466.0160165</v>
      </c>
    </row>
    <row r="115" spans="1:9" ht="15" customHeight="1" x14ac:dyDescent="0.2">
      <c r="H115" s="3">
        <f>+H113+UM!H295</f>
        <v>-1363865.9499999997</v>
      </c>
      <c r="I115" s="4">
        <f>+I113+UM!I295</f>
        <v>-20581910135.289989</v>
      </c>
    </row>
    <row r="116" spans="1:9" ht="15" customHeight="1" x14ac:dyDescent="0.2">
      <c r="H116" s="3">
        <f>+H115-H117</f>
        <v>-272536.67000000016</v>
      </c>
      <c r="I116" s="4">
        <f>+I115-I117</f>
        <v>-4161789673.6817856</v>
      </c>
    </row>
    <row r="117" spans="1:9" ht="15" customHeight="1" x14ac:dyDescent="0.2">
      <c r="H117" s="3">
        <v>-1091329.2799999996</v>
      </c>
      <c r="I117" s="4">
        <v>-16420120461.608204</v>
      </c>
    </row>
    <row r="120" spans="1:9" s="232" customFormat="1" ht="15" customHeight="1" x14ac:dyDescent="0.2">
      <c r="A120" s="231">
        <v>45021</v>
      </c>
      <c r="B120" s="231"/>
      <c r="C120" s="232" t="s">
        <v>40</v>
      </c>
      <c r="D120" s="236">
        <v>267161.14</v>
      </c>
      <c r="E120" s="188">
        <v>4028522830.0600004</v>
      </c>
      <c r="F120" s="16"/>
      <c r="G120" s="188"/>
      <c r="H120" s="16">
        <f>+H113+D120-F120</f>
        <v>464856.24000000005</v>
      </c>
      <c r="I120" s="188">
        <f>+I113+E120-G120</f>
        <v>7357345296.0760174</v>
      </c>
    </row>
    <row r="121" spans="1:9" s="232" customFormat="1" ht="15" customHeight="1" x14ac:dyDescent="0.2">
      <c r="A121" s="231">
        <v>45022</v>
      </c>
      <c r="B121" s="231"/>
      <c r="C121" s="232" t="s">
        <v>32</v>
      </c>
      <c r="D121" s="16">
        <v>74591.5</v>
      </c>
      <c r="E121" s="188">
        <v>1124765228.5</v>
      </c>
      <c r="F121" s="16"/>
      <c r="G121" s="188"/>
      <c r="H121" s="16">
        <f>+H120+D121-F121</f>
        <v>539447.74</v>
      </c>
      <c r="I121" s="188">
        <f>+I120+E121-G121</f>
        <v>8482110524.5760174</v>
      </c>
    </row>
    <row r="122" spans="1:9" s="232" customFormat="1" ht="15" customHeight="1" x14ac:dyDescent="0.2">
      <c r="A122" s="231">
        <v>45027</v>
      </c>
      <c r="B122" s="2"/>
      <c r="C122" s="232" t="s">
        <v>231</v>
      </c>
      <c r="D122" s="16">
        <v>76241.31</v>
      </c>
      <c r="E122" s="188">
        <v>1149642713.49</v>
      </c>
      <c r="F122" s="16"/>
      <c r="G122" s="188"/>
      <c r="H122" s="16">
        <f t="shared" ref="H122:H132" si="15">+H121+D122-F122</f>
        <v>615689.05000000005</v>
      </c>
      <c r="I122" s="188">
        <f t="shared" ref="I122:I132" si="16">+I121+E122-G122</f>
        <v>9631753238.0660172</v>
      </c>
    </row>
    <row r="123" spans="1:9" s="232" customFormat="1" ht="15" customHeight="1" x14ac:dyDescent="0.2">
      <c r="A123" s="231">
        <v>45043</v>
      </c>
      <c r="B123" s="231"/>
      <c r="C123" s="232" t="s">
        <v>16</v>
      </c>
      <c r="D123" s="16">
        <v>88394.8</v>
      </c>
      <c r="E123" s="188">
        <v>1310364515.2</v>
      </c>
      <c r="F123" s="16"/>
      <c r="G123" s="188"/>
      <c r="H123" s="16">
        <f t="shared" si="15"/>
        <v>704083.85000000009</v>
      </c>
      <c r="I123" s="188">
        <f t="shared" si="16"/>
        <v>10942117753.266018</v>
      </c>
    </row>
    <row r="124" spans="1:9" s="232" customFormat="1" ht="15" customHeight="1" x14ac:dyDescent="0.2">
      <c r="A124" s="231">
        <v>45022</v>
      </c>
      <c r="B124" s="231"/>
      <c r="C124" s="232" t="s">
        <v>216</v>
      </c>
      <c r="D124" s="16"/>
      <c r="E124" s="188"/>
      <c r="F124" s="236">
        <v>102136.01</v>
      </c>
      <c r="G124" s="188">
        <v>1525197037.3299999</v>
      </c>
      <c r="H124" s="16">
        <f>+H123+D124-F124</f>
        <v>601947.84000000008</v>
      </c>
      <c r="I124" s="188">
        <f>+I123+E124-G124</f>
        <v>9416920715.936018</v>
      </c>
    </row>
    <row r="125" spans="1:9" s="232" customFormat="1" ht="15" customHeight="1" x14ac:dyDescent="0.2">
      <c r="A125" s="231">
        <v>45022</v>
      </c>
      <c r="B125" s="231"/>
      <c r="C125" s="232" t="s">
        <v>17</v>
      </c>
      <c r="D125" s="16"/>
      <c r="E125" s="188"/>
      <c r="F125" s="236">
        <v>30</v>
      </c>
      <c r="G125" s="188">
        <v>447990</v>
      </c>
      <c r="H125" s="16">
        <f t="shared" si="15"/>
        <v>601917.84000000008</v>
      </c>
      <c r="I125" s="188">
        <f t="shared" si="16"/>
        <v>9416472725.936018</v>
      </c>
    </row>
    <row r="126" spans="1:9" s="232" customFormat="1" ht="15" customHeight="1" x14ac:dyDescent="0.2">
      <c r="A126" s="231">
        <v>45022</v>
      </c>
      <c r="B126" s="231"/>
      <c r="C126" s="232" t="s">
        <v>176</v>
      </c>
      <c r="D126" s="16"/>
      <c r="E126" s="188"/>
      <c r="F126" s="236">
        <v>30000</v>
      </c>
      <c r="G126" s="188">
        <v>460980000</v>
      </c>
      <c r="H126" s="16">
        <f>+H125+D126-F126</f>
        <v>571917.84000000008</v>
      </c>
      <c r="I126" s="188">
        <f t="shared" si="16"/>
        <v>8955492725.936018</v>
      </c>
    </row>
    <row r="127" spans="1:9" s="232" customFormat="1" ht="15" customHeight="1" x14ac:dyDescent="0.2">
      <c r="A127" s="231">
        <v>45026</v>
      </c>
      <c r="B127" s="231"/>
      <c r="C127" s="232" t="s">
        <v>176</v>
      </c>
      <c r="D127" s="16"/>
      <c r="E127" s="188"/>
      <c r="F127" s="159">
        <v>88394.8</v>
      </c>
      <c r="G127" s="235">
        <v>1320883496.4000001</v>
      </c>
      <c r="H127" s="16">
        <f>+H126+D127-F127</f>
        <v>483523.0400000001</v>
      </c>
      <c r="I127" s="188">
        <f t="shared" ref="I127:I128" si="17">+I126+E127-G127</f>
        <v>7634609229.5360184</v>
      </c>
    </row>
    <row r="128" spans="1:9" s="232" customFormat="1" ht="15" customHeight="1" x14ac:dyDescent="0.2">
      <c r="A128" s="231">
        <v>45044</v>
      </c>
      <c r="C128" s="232" t="s">
        <v>176</v>
      </c>
      <c r="D128" s="16"/>
      <c r="E128" s="188"/>
      <c r="F128" s="239">
        <v>251244.26</v>
      </c>
      <c r="G128" s="235">
        <v>3706104079.2600002</v>
      </c>
      <c r="H128" s="16">
        <f>+H127+D128-F128</f>
        <v>232278.78000000009</v>
      </c>
      <c r="I128" s="188">
        <f t="shared" si="17"/>
        <v>3928505150.2760181</v>
      </c>
    </row>
    <row r="129" spans="1:9" s="232" customFormat="1" ht="15" customHeight="1" x14ac:dyDescent="0.2">
      <c r="A129" s="231">
        <v>45046</v>
      </c>
      <c r="B129" s="2"/>
      <c r="C129" s="232" t="s">
        <v>18</v>
      </c>
      <c r="D129" s="16"/>
      <c r="E129" s="188"/>
      <c r="F129" s="16"/>
      <c r="G129" s="188">
        <f>69778628.07+3517419.64-10518981.2</f>
        <v>62777066.50999999</v>
      </c>
      <c r="H129" s="16">
        <f>+H128+D129-F129</f>
        <v>232278.78000000009</v>
      </c>
      <c r="I129" s="188">
        <f t="shared" ref="I129" si="18">+I128+E129-G129</f>
        <v>3865728083.7660179</v>
      </c>
    </row>
    <row r="130" spans="1:9" s="232" customFormat="1" ht="15" customHeight="1" x14ac:dyDescent="0.2">
      <c r="A130" s="231">
        <v>45027</v>
      </c>
      <c r="B130" s="231"/>
      <c r="C130" s="232" t="s">
        <v>239</v>
      </c>
      <c r="D130" s="16"/>
      <c r="E130" s="188"/>
      <c r="F130" s="236">
        <v>226131.14</v>
      </c>
      <c r="G130" s="188">
        <v>3370484641.6999998</v>
      </c>
      <c r="H130" s="16">
        <f t="shared" si="15"/>
        <v>6147.6400000000722</v>
      </c>
      <c r="I130" s="188">
        <f t="shared" si="16"/>
        <v>495243442.0660181</v>
      </c>
    </row>
    <row r="131" spans="1:9" s="232" customFormat="1" ht="15" customHeight="1" x14ac:dyDescent="0.2">
      <c r="A131" s="231">
        <v>45027</v>
      </c>
      <c r="B131" s="231"/>
      <c r="C131" s="232" t="s">
        <v>17</v>
      </c>
      <c r="D131" s="16"/>
      <c r="E131" s="188"/>
      <c r="F131" s="236">
        <v>30</v>
      </c>
      <c r="G131" s="188">
        <v>447150</v>
      </c>
      <c r="H131" s="16">
        <f t="shared" si="15"/>
        <v>6117.6400000000722</v>
      </c>
      <c r="I131" s="188">
        <f t="shared" si="16"/>
        <v>494796292.0660181</v>
      </c>
    </row>
    <row r="132" spans="1:9" s="232" customFormat="1" ht="15" customHeight="1" x14ac:dyDescent="0.2">
      <c r="A132" s="231">
        <v>45027</v>
      </c>
      <c r="B132" s="231"/>
      <c r="C132" s="232" t="s">
        <v>176</v>
      </c>
      <c r="D132" s="16"/>
      <c r="E132" s="188"/>
      <c r="F132" s="236">
        <v>41000</v>
      </c>
      <c r="G132" s="188">
        <v>623856000</v>
      </c>
      <c r="H132" s="237">
        <f t="shared" si="15"/>
        <v>-34882.359999999928</v>
      </c>
      <c r="I132" s="238">
        <f t="shared" si="16"/>
        <v>-129059707.9339819</v>
      </c>
    </row>
    <row r="134" spans="1:9" ht="15" customHeight="1" x14ac:dyDescent="0.2">
      <c r="H134" s="3">
        <f>+H132+UM!H312</f>
        <v>-1658708.0599999998</v>
      </c>
      <c r="I134" s="4">
        <f>+I132+UM!I312</f>
        <v>-24675066056.339985</v>
      </c>
    </row>
    <row r="135" spans="1:9" ht="15" customHeight="1" x14ac:dyDescent="0.2">
      <c r="H135" s="3">
        <f>+H134-H136</f>
        <v>9999.9999999997672</v>
      </c>
      <c r="I135" s="4">
        <f>+I134-I136</f>
        <v>309561203.32822037</v>
      </c>
    </row>
    <row r="136" spans="1:9" s="148" customFormat="1" ht="15" customHeight="1" x14ac:dyDescent="0.2">
      <c r="A136" s="5"/>
      <c r="B136" s="5"/>
      <c r="D136" s="6"/>
      <c r="E136" s="178"/>
      <c r="F136" s="6"/>
      <c r="G136" s="178"/>
      <c r="H136" s="6">
        <v>-1668708.0599999996</v>
      </c>
      <c r="I136" s="7">
        <v>-24984627259.668205</v>
      </c>
    </row>
    <row r="138" spans="1:9" s="232" customFormat="1" ht="15" customHeight="1" x14ac:dyDescent="0.2">
      <c r="A138" s="231">
        <v>45048</v>
      </c>
      <c r="B138" s="231"/>
      <c r="C138" s="240" t="s">
        <v>193</v>
      </c>
      <c r="D138" s="16">
        <v>66408.36</v>
      </c>
      <c r="E138" s="188">
        <v>984437528.63999999</v>
      </c>
      <c r="F138" s="16"/>
      <c r="G138" s="188"/>
      <c r="H138" s="16">
        <f>+H132+D138-F138</f>
        <v>31526.000000000073</v>
      </c>
      <c r="I138" s="188">
        <f>+I132+E138-G138</f>
        <v>855377820.70601809</v>
      </c>
    </row>
    <row r="139" spans="1:9" s="232" customFormat="1" ht="15" customHeight="1" x14ac:dyDescent="0.2">
      <c r="A139" s="231">
        <v>45051</v>
      </c>
      <c r="B139" s="231"/>
      <c r="C139" s="240" t="s">
        <v>40</v>
      </c>
      <c r="D139" s="16">
        <v>195425.82</v>
      </c>
      <c r="E139" s="188">
        <v>2885462232.3000002</v>
      </c>
      <c r="F139" s="16"/>
      <c r="G139" s="188"/>
      <c r="H139" s="16">
        <f>+H138+D139-F139</f>
        <v>226951.82000000007</v>
      </c>
      <c r="I139" s="188">
        <f>+I138+E139-G139</f>
        <v>3740840053.0060182</v>
      </c>
    </row>
    <row r="140" spans="1:9" s="232" customFormat="1" ht="15" customHeight="1" x14ac:dyDescent="0.2">
      <c r="A140" s="231">
        <v>45051</v>
      </c>
      <c r="B140" s="231"/>
      <c r="C140" s="240" t="s">
        <v>40</v>
      </c>
      <c r="D140" s="16">
        <v>321747.06</v>
      </c>
      <c r="E140" s="188">
        <v>4750595340.8999996</v>
      </c>
      <c r="F140" s="16"/>
      <c r="G140" s="188"/>
      <c r="H140" s="16">
        <f t="shared" ref="H140:H172" si="19">+H139+D140-F140</f>
        <v>548698.88000000012</v>
      </c>
      <c r="I140" s="188">
        <f t="shared" ref="I140:I172" si="20">+I139+E140-G140</f>
        <v>8491435393.9060173</v>
      </c>
    </row>
    <row r="141" spans="1:9" s="232" customFormat="1" ht="15" customHeight="1" x14ac:dyDescent="0.2">
      <c r="A141" s="231">
        <v>45051</v>
      </c>
      <c r="B141" s="231"/>
      <c r="C141" s="240" t="s">
        <v>40</v>
      </c>
      <c r="D141" s="16">
        <v>261265.01</v>
      </c>
      <c r="E141" s="188">
        <v>3857577872.6500001</v>
      </c>
      <c r="F141" s="16"/>
      <c r="G141" s="188"/>
      <c r="H141" s="16">
        <f t="shared" si="19"/>
        <v>809963.89000000013</v>
      </c>
      <c r="I141" s="188">
        <f t="shared" si="20"/>
        <v>12349013266.556017</v>
      </c>
    </row>
    <row r="142" spans="1:9" s="232" customFormat="1" ht="15" customHeight="1" x14ac:dyDescent="0.2">
      <c r="A142" s="231">
        <v>45057</v>
      </c>
      <c r="B142" s="231"/>
      <c r="C142" s="240" t="s">
        <v>40</v>
      </c>
      <c r="D142" s="16">
        <v>130073.2</v>
      </c>
      <c r="E142" s="188">
        <v>1909344502.8</v>
      </c>
      <c r="F142" s="16"/>
      <c r="G142" s="188"/>
      <c r="H142" s="16">
        <f t="shared" si="19"/>
        <v>940037.09000000008</v>
      </c>
      <c r="I142" s="188">
        <f t="shared" si="20"/>
        <v>14258357769.356016</v>
      </c>
    </row>
    <row r="143" spans="1:9" s="232" customFormat="1" ht="15" customHeight="1" x14ac:dyDescent="0.2">
      <c r="A143" s="231">
        <v>45065</v>
      </c>
      <c r="B143" s="231"/>
      <c r="C143" s="240" t="s">
        <v>55</v>
      </c>
      <c r="D143" s="16">
        <v>161866.10999999999</v>
      </c>
      <c r="E143" s="188">
        <v>2385582729.1799998</v>
      </c>
      <c r="F143" s="16"/>
      <c r="G143" s="188"/>
      <c r="H143" s="16">
        <f t="shared" si="19"/>
        <v>1101903.2000000002</v>
      </c>
      <c r="I143" s="188">
        <f t="shared" si="20"/>
        <v>16643940498.536016</v>
      </c>
    </row>
    <row r="144" spans="1:9" s="232" customFormat="1" ht="15" customHeight="1" x14ac:dyDescent="0.2">
      <c r="A144" s="231">
        <v>45065</v>
      </c>
      <c r="B144" s="231"/>
      <c r="C144" s="240" t="s">
        <v>40</v>
      </c>
      <c r="D144" s="16">
        <v>129952.9</v>
      </c>
      <c r="E144" s="188">
        <v>1915245840.1999998</v>
      </c>
      <c r="F144" s="16"/>
      <c r="G144" s="188"/>
      <c r="H144" s="16">
        <f t="shared" si="19"/>
        <v>1231856.1000000001</v>
      </c>
      <c r="I144" s="188">
        <f t="shared" si="20"/>
        <v>18559186338.736015</v>
      </c>
    </row>
    <row r="145" spans="1:9" s="232" customFormat="1" ht="15" customHeight="1" x14ac:dyDescent="0.2">
      <c r="A145" s="231">
        <v>45070</v>
      </c>
      <c r="B145" s="231"/>
      <c r="C145" s="240" t="s">
        <v>166</v>
      </c>
      <c r="D145" s="16">
        <v>358495.08</v>
      </c>
      <c r="E145" s="188">
        <v>5326878393.7200003</v>
      </c>
      <c r="F145" s="16"/>
      <c r="G145" s="188"/>
      <c r="H145" s="16">
        <f t="shared" si="19"/>
        <v>1590351.1800000002</v>
      </c>
      <c r="I145" s="188">
        <f t="shared" si="20"/>
        <v>23886064732.456017</v>
      </c>
    </row>
    <row r="146" spans="1:9" s="232" customFormat="1" ht="15" customHeight="1" x14ac:dyDescent="0.2">
      <c r="A146" s="231">
        <v>45048</v>
      </c>
      <c r="B146" s="231"/>
      <c r="C146" s="232" t="s">
        <v>255</v>
      </c>
      <c r="D146" s="16"/>
      <c r="E146" s="188"/>
      <c r="F146" s="159">
        <v>19674</v>
      </c>
      <c r="G146" s="235">
        <v>292513032</v>
      </c>
      <c r="H146" s="16">
        <f t="shared" si="19"/>
        <v>1570677.1800000002</v>
      </c>
      <c r="I146" s="188">
        <f t="shared" si="20"/>
        <v>23593551700.456017</v>
      </c>
    </row>
    <row r="147" spans="1:9" s="232" customFormat="1" ht="15" customHeight="1" x14ac:dyDescent="0.2">
      <c r="A147" s="231">
        <v>45048</v>
      </c>
      <c r="B147" s="231"/>
      <c r="C147" s="232" t="s">
        <v>255</v>
      </c>
      <c r="D147" s="16"/>
      <c r="E147" s="188"/>
      <c r="F147" s="159">
        <v>46734.36</v>
      </c>
      <c r="G147" s="235">
        <v>690406700.27999997</v>
      </c>
      <c r="H147" s="16">
        <f t="shared" si="19"/>
        <v>1523942.82</v>
      </c>
      <c r="I147" s="188">
        <f t="shared" si="20"/>
        <v>22903145000.176018</v>
      </c>
    </row>
    <row r="148" spans="1:9" s="232" customFormat="1" ht="15" customHeight="1" x14ac:dyDescent="0.2">
      <c r="A148" s="231">
        <v>45051</v>
      </c>
      <c r="B148" s="231"/>
      <c r="C148" s="232" t="s">
        <v>255</v>
      </c>
      <c r="D148" s="16"/>
      <c r="E148" s="188"/>
      <c r="F148" s="16">
        <v>70502.8</v>
      </c>
      <c r="G148" s="188">
        <v>1072770604.8</v>
      </c>
      <c r="H148" s="16">
        <f t="shared" si="19"/>
        <v>1453440.02</v>
      </c>
      <c r="I148" s="188">
        <f t="shared" si="20"/>
        <v>21830374395.376019</v>
      </c>
    </row>
    <row r="149" spans="1:9" s="232" customFormat="1" ht="15" customHeight="1" x14ac:dyDescent="0.2">
      <c r="A149" s="231">
        <v>45051</v>
      </c>
      <c r="B149" s="231"/>
      <c r="C149" s="232" t="s">
        <v>254</v>
      </c>
      <c r="D149" s="16"/>
      <c r="E149" s="188"/>
      <c r="F149" s="16">
        <v>163395.82</v>
      </c>
      <c r="G149" s="188">
        <v>2390807638.2399998</v>
      </c>
      <c r="H149" s="16">
        <f t="shared" si="19"/>
        <v>1290044.2</v>
      </c>
      <c r="I149" s="188">
        <f t="shared" si="20"/>
        <v>19439566757.136017</v>
      </c>
    </row>
    <row r="150" spans="1:9" s="232" customFormat="1" ht="15" customHeight="1" x14ac:dyDescent="0.2">
      <c r="A150" s="231">
        <v>45051</v>
      </c>
      <c r="B150" s="231"/>
      <c r="C150" s="232" t="s">
        <v>17</v>
      </c>
      <c r="D150" s="16"/>
      <c r="E150" s="188"/>
      <c r="F150" s="16">
        <v>30</v>
      </c>
      <c r="G150" s="188">
        <v>438960</v>
      </c>
      <c r="H150" s="16">
        <f t="shared" si="19"/>
        <v>1290014.2</v>
      </c>
      <c r="I150" s="188">
        <f t="shared" si="20"/>
        <v>19439127797.136017</v>
      </c>
    </row>
    <row r="151" spans="1:9" s="232" customFormat="1" ht="15" customHeight="1" x14ac:dyDescent="0.2">
      <c r="A151" s="231">
        <v>45051</v>
      </c>
      <c r="B151" s="231"/>
      <c r="C151" s="232" t="s">
        <v>255</v>
      </c>
      <c r="D151" s="16"/>
      <c r="E151" s="188"/>
      <c r="F151" s="149">
        <v>32000</v>
      </c>
      <c r="G151" s="241">
        <v>492160000</v>
      </c>
      <c r="H151" s="16">
        <f t="shared" si="19"/>
        <v>1258014.2</v>
      </c>
      <c r="I151" s="188">
        <f t="shared" si="20"/>
        <v>18946967797.136017</v>
      </c>
    </row>
    <row r="152" spans="1:9" s="232" customFormat="1" ht="15" customHeight="1" x14ac:dyDescent="0.2">
      <c r="A152" s="231">
        <v>45056</v>
      </c>
      <c r="B152" s="231"/>
      <c r="C152" s="232" t="s">
        <v>256</v>
      </c>
      <c r="D152" s="16"/>
      <c r="E152" s="188"/>
      <c r="F152" s="16">
        <v>219235.01</v>
      </c>
      <c r="G152" s="188">
        <v>3235251042.5700002</v>
      </c>
      <c r="H152" s="16">
        <f t="shared" si="19"/>
        <v>1038779.19</v>
      </c>
      <c r="I152" s="188">
        <f t="shared" si="20"/>
        <v>15711716754.566017</v>
      </c>
    </row>
    <row r="153" spans="1:9" s="232" customFormat="1" ht="15" customHeight="1" x14ac:dyDescent="0.2">
      <c r="A153" s="231">
        <v>45056</v>
      </c>
      <c r="B153" s="231"/>
      <c r="C153" s="232" t="s">
        <v>17</v>
      </c>
      <c r="D153" s="16"/>
      <c r="E153" s="188"/>
      <c r="F153" s="16">
        <v>30</v>
      </c>
      <c r="G153" s="188">
        <v>442710</v>
      </c>
      <c r="H153" s="16">
        <f t="shared" si="19"/>
        <v>1038749.19</v>
      </c>
      <c r="I153" s="188">
        <f t="shared" si="20"/>
        <v>15711274044.566017</v>
      </c>
    </row>
    <row r="154" spans="1:9" s="232" customFormat="1" ht="15" customHeight="1" x14ac:dyDescent="0.2">
      <c r="A154" s="231">
        <v>45056</v>
      </c>
      <c r="B154" s="231"/>
      <c r="C154" s="232" t="s">
        <v>255</v>
      </c>
      <c r="D154" s="160"/>
      <c r="E154" s="242"/>
      <c r="F154" s="149">
        <v>42000</v>
      </c>
      <c r="G154" s="241">
        <v>645960000</v>
      </c>
      <c r="H154" s="16">
        <f t="shared" si="19"/>
        <v>996749.19</v>
      </c>
      <c r="I154" s="188">
        <f t="shared" si="20"/>
        <v>15065314044.566017</v>
      </c>
    </row>
    <row r="155" spans="1:9" s="232" customFormat="1" ht="15" customHeight="1" x14ac:dyDescent="0.2">
      <c r="A155" s="231">
        <v>45058</v>
      </c>
      <c r="B155" s="231"/>
      <c r="C155" s="232" t="s">
        <v>257</v>
      </c>
      <c r="D155" s="16"/>
      <c r="E155" s="188"/>
      <c r="F155" s="16">
        <v>107043.2</v>
      </c>
      <c r="G155" s="188">
        <v>1575889990.4000001</v>
      </c>
      <c r="H155" s="16">
        <f t="shared" si="19"/>
        <v>889705.99</v>
      </c>
      <c r="I155" s="188">
        <f t="shared" si="20"/>
        <v>13489424054.166018</v>
      </c>
    </row>
    <row r="156" spans="1:9" s="232" customFormat="1" ht="15" customHeight="1" x14ac:dyDescent="0.2">
      <c r="A156" s="231">
        <v>45058</v>
      </c>
      <c r="B156" s="231"/>
      <c r="C156" s="232" t="s">
        <v>17</v>
      </c>
      <c r="D156" s="16"/>
      <c r="E156" s="188"/>
      <c r="F156" s="16">
        <v>30</v>
      </c>
      <c r="G156" s="188">
        <v>441660</v>
      </c>
      <c r="H156" s="16">
        <f t="shared" si="19"/>
        <v>889675.99</v>
      </c>
      <c r="I156" s="188">
        <f t="shared" si="20"/>
        <v>13488982394.166018</v>
      </c>
    </row>
    <row r="157" spans="1:9" s="232" customFormat="1" ht="15" customHeight="1" x14ac:dyDescent="0.2">
      <c r="A157" s="231">
        <v>45058</v>
      </c>
      <c r="B157" s="231"/>
      <c r="C157" s="232" t="s">
        <v>255</v>
      </c>
      <c r="D157" s="160"/>
      <c r="E157" s="242"/>
      <c r="F157" s="149">
        <v>13000</v>
      </c>
      <c r="G157" s="241">
        <v>199940000</v>
      </c>
      <c r="H157" s="16">
        <f t="shared" si="19"/>
        <v>876675.99</v>
      </c>
      <c r="I157" s="188">
        <f t="shared" si="20"/>
        <v>13289042394.166018</v>
      </c>
    </row>
    <row r="158" spans="1:9" s="232" customFormat="1" ht="15" customHeight="1" x14ac:dyDescent="0.2">
      <c r="A158" s="231">
        <v>45058</v>
      </c>
      <c r="B158" s="231"/>
      <c r="C158" s="232" t="s">
        <v>255</v>
      </c>
      <c r="D158" s="16"/>
      <c r="E158" s="188"/>
      <c r="F158" s="150">
        <v>10000</v>
      </c>
      <c r="G158" s="235">
        <v>149330000</v>
      </c>
      <c r="H158" s="16">
        <f t="shared" si="19"/>
        <v>866675.99</v>
      </c>
      <c r="I158" s="188">
        <f t="shared" si="20"/>
        <v>13139712394.166018</v>
      </c>
    </row>
    <row r="159" spans="1:9" s="232" customFormat="1" ht="15" customHeight="1" x14ac:dyDescent="0.2">
      <c r="A159" s="231">
        <v>45065</v>
      </c>
      <c r="B159" s="231"/>
      <c r="C159" s="232" t="s">
        <v>258</v>
      </c>
      <c r="D159" s="16"/>
      <c r="E159" s="188"/>
      <c r="F159" s="16">
        <v>106922.9</v>
      </c>
      <c r="G159" s="188">
        <v>1590479206.73</v>
      </c>
      <c r="H159" s="16">
        <f t="shared" si="19"/>
        <v>759753.09</v>
      </c>
      <c r="I159" s="188">
        <f t="shared" si="20"/>
        <v>11549233187.436018</v>
      </c>
    </row>
    <row r="160" spans="1:9" s="232" customFormat="1" ht="15" customHeight="1" x14ac:dyDescent="0.2">
      <c r="A160" s="231">
        <v>45065</v>
      </c>
      <c r="B160" s="231"/>
      <c r="C160" s="232" t="s">
        <v>17</v>
      </c>
      <c r="D160" s="16"/>
      <c r="E160" s="188"/>
      <c r="F160" s="16">
        <v>30</v>
      </c>
      <c r="G160" s="188">
        <v>446250.3</v>
      </c>
      <c r="H160" s="16">
        <f t="shared" si="19"/>
        <v>759723.09</v>
      </c>
      <c r="I160" s="188">
        <f t="shared" si="20"/>
        <v>11548786937.136019</v>
      </c>
    </row>
    <row r="161" spans="1:9" s="232" customFormat="1" ht="15" customHeight="1" x14ac:dyDescent="0.2">
      <c r="A161" s="231">
        <v>45065</v>
      </c>
      <c r="B161" s="231"/>
      <c r="C161" s="232" t="s">
        <v>255</v>
      </c>
      <c r="D161" s="16"/>
      <c r="E161" s="188"/>
      <c r="F161" s="150">
        <v>23000</v>
      </c>
      <c r="G161" s="235">
        <v>343459000</v>
      </c>
      <c r="H161" s="16">
        <f t="shared" si="19"/>
        <v>736723.09</v>
      </c>
      <c r="I161" s="188">
        <f t="shared" si="20"/>
        <v>11205327937.136019</v>
      </c>
    </row>
    <row r="162" spans="1:9" s="232" customFormat="1" ht="15" customHeight="1" x14ac:dyDescent="0.2">
      <c r="A162" s="231">
        <v>45065</v>
      </c>
      <c r="B162" s="231"/>
      <c r="C162" s="232" t="s">
        <v>255</v>
      </c>
      <c r="D162" s="160"/>
      <c r="E162" s="242"/>
      <c r="F162" s="160">
        <v>33017.599999999999</v>
      </c>
      <c r="G162" s="242">
        <v>491137130.18000001</v>
      </c>
      <c r="H162" s="16">
        <f t="shared" si="19"/>
        <v>703705.49</v>
      </c>
      <c r="I162" s="188">
        <f t="shared" si="20"/>
        <v>10714190806.956018</v>
      </c>
    </row>
    <row r="163" spans="1:9" s="232" customFormat="1" ht="15" customHeight="1" x14ac:dyDescent="0.2">
      <c r="A163" s="231">
        <v>45065</v>
      </c>
      <c r="B163" s="231"/>
      <c r="C163" s="232" t="s">
        <v>255</v>
      </c>
      <c r="D163" s="160"/>
      <c r="E163" s="242"/>
      <c r="F163" s="160">
        <v>128848.51</v>
      </c>
      <c r="G163" s="242">
        <v>1905927159.9200001</v>
      </c>
      <c r="H163" s="16">
        <f t="shared" si="19"/>
        <v>574856.98</v>
      </c>
      <c r="I163" s="188">
        <f t="shared" si="20"/>
        <v>8808263647.0360184</v>
      </c>
    </row>
    <row r="164" spans="1:9" s="232" customFormat="1" ht="15" customHeight="1" x14ac:dyDescent="0.2">
      <c r="A164" s="231">
        <v>45069</v>
      </c>
      <c r="B164" s="231"/>
      <c r="C164" s="232" t="s">
        <v>262</v>
      </c>
      <c r="D164" s="16"/>
      <c r="E164" s="188"/>
      <c r="F164" s="233">
        <v>59747.39</v>
      </c>
      <c r="G164" s="188">
        <v>890056868.83000004</v>
      </c>
      <c r="H164" s="16">
        <f t="shared" si="19"/>
        <v>515109.58999999997</v>
      </c>
      <c r="I164" s="188">
        <f t="shared" si="20"/>
        <v>7918206778.2060184</v>
      </c>
    </row>
    <row r="165" spans="1:9" s="232" customFormat="1" ht="15" customHeight="1" x14ac:dyDescent="0.2">
      <c r="A165" s="231">
        <v>45069</v>
      </c>
      <c r="B165" s="231"/>
      <c r="C165" s="232" t="s">
        <v>17</v>
      </c>
      <c r="D165" s="16"/>
      <c r="E165" s="188"/>
      <c r="F165" s="233">
        <v>42</v>
      </c>
      <c r="G165" s="188">
        <v>625674</v>
      </c>
      <c r="H165" s="16">
        <f t="shared" si="19"/>
        <v>515067.58999999997</v>
      </c>
      <c r="I165" s="188">
        <f t="shared" si="20"/>
        <v>7917581104.2060184</v>
      </c>
    </row>
    <row r="166" spans="1:9" s="232" customFormat="1" ht="15" customHeight="1" x14ac:dyDescent="0.2">
      <c r="A166" s="231">
        <v>45076</v>
      </c>
      <c r="B166" s="231"/>
      <c r="C166" s="232" t="s">
        <v>259</v>
      </c>
      <c r="D166" s="16"/>
      <c r="E166" s="188"/>
      <c r="F166" s="16">
        <v>142899.26</v>
      </c>
      <c r="G166" s="188">
        <v>2139630619.98</v>
      </c>
      <c r="H166" s="16">
        <f t="shared" si="19"/>
        <v>372168.32999999996</v>
      </c>
      <c r="I166" s="188">
        <f t="shared" si="20"/>
        <v>5777950484.2260189</v>
      </c>
    </row>
    <row r="167" spans="1:9" s="232" customFormat="1" ht="15" customHeight="1" x14ac:dyDescent="0.2">
      <c r="A167" s="231">
        <v>45076</v>
      </c>
      <c r="B167" s="231"/>
      <c r="C167" s="232" t="s">
        <v>17</v>
      </c>
      <c r="D167" s="160"/>
      <c r="E167" s="242"/>
      <c r="F167" s="160">
        <v>30</v>
      </c>
      <c r="G167" s="242">
        <v>449190</v>
      </c>
      <c r="H167" s="16">
        <f t="shared" si="19"/>
        <v>372138.32999999996</v>
      </c>
      <c r="I167" s="188">
        <f t="shared" si="20"/>
        <v>5777501294.2260189</v>
      </c>
    </row>
    <row r="168" spans="1:9" s="232" customFormat="1" ht="15" customHeight="1" x14ac:dyDescent="0.2">
      <c r="A168" s="231">
        <v>45076</v>
      </c>
      <c r="B168" s="231"/>
      <c r="C168" s="232" t="s">
        <v>259</v>
      </c>
      <c r="D168" s="160"/>
      <c r="E168" s="242"/>
      <c r="F168" s="160">
        <v>142899.26</v>
      </c>
      <c r="G168" s="242">
        <v>2139630619.98</v>
      </c>
      <c r="H168" s="16">
        <f t="shared" si="19"/>
        <v>229239.06999999995</v>
      </c>
      <c r="I168" s="188">
        <f t="shared" si="20"/>
        <v>3637870674.2460189</v>
      </c>
    </row>
    <row r="169" spans="1:9" s="232" customFormat="1" ht="15" customHeight="1" x14ac:dyDescent="0.2">
      <c r="A169" s="231">
        <v>45076</v>
      </c>
      <c r="B169" s="231"/>
      <c r="C169" s="232" t="s">
        <v>17</v>
      </c>
      <c r="D169" s="160"/>
      <c r="E169" s="242"/>
      <c r="F169" s="160">
        <v>30</v>
      </c>
      <c r="G169" s="242">
        <v>449190</v>
      </c>
      <c r="H169" s="16">
        <f t="shared" si="19"/>
        <v>229209.06999999995</v>
      </c>
      <c r="I169" s="188">
        <f t="shared" si="20"/>
        <v>3637421484.2460189</v>
      </c>
    </row>
    <row r="170" spans="1:9" s="232" customFormat="1" ht="15" customHeight="1" x14ac:dyDescent="0.2">
      <c r="A170" s="231">
        <v>45076</v>
      </c>
      <c r="B170" s="231"/>
      <c r="C170" s="232" t="s">
        <v>255</v>
      </c>
      <c r="D170" s="160"/>
      <c r="E170" s="242"/>
      <c r="F170" s="149">
        <v>25640.400000000001</v>
      </c>
      <c r="G170" s="241">
        <v>401067136.80000001</v>
      </c>
      <c r="H170" s="16">
        <f t="shared" si="19"/>
        <v>203568.66999999995</v>
      </c>
      <c r="I170" s="188">
        <f t="shared" si="20"/>
        <v>3236354347.4460187</v>
      </c>
    </row>
    <row r="171" spans="1:9" s="232" customFormat="1" ht="15" customHeight="1" x14ac:dyDescent="0.2">
      <c r="A171" s="231">
        <v>45076</v>
      </c>
      <c r="B171" s="231"/>
      <c r="C171" s="231" t="s">
        <v>255</v>
      </c>
      <c r="D171" s="160"/>
      <c r="E171" s="242"/>
      <c r="F171" s="149">
        <v>46996.160000000003</v>
      </c>
      <c r="G171" s="241">
        <v>711521862.39999998</v>
      </c>
      <c r="H171" s="16">
        <f t="shared" si="19"/>
        <v>156572.50999999995</v>
      </c>
      <c r="I171" s="188">
        <f t="shared" si="20"/>
        <v>2524832485.0460186</v>
      </c>
    </row>
    <row r="172" spans="1:9" s="232" customFormat="1" ht="15" customHeight="1" x14ac:dyDescent="0.2">
      <c r="A172" s="231">
        <v>45077</v>
      </c>
      <c r="B172" s="2"/>
      <c r="C172" s="232" t="s">
        <v>18</v>
      </c>
      <c r="D172" s="16"/>
      <c r="E172" s="188">
        <f>165046763.09-456480+31796762.8</f>
        <v>196387045.89000002</v>
      </c>
      <c r="F172" s="16"/>
      <c r="G172" s="188"/>
      <c r="H172" s="237">
        <f t="shared" si="19"/>
        <v>156572.50999999995</v>
      </c>
      <c r="I172" s="238">
        <f t="shared" si="20"/>
        <v>2721219530.9360185</v>
      </c>
    </row>
    <row r="174" spans="1:9" ht="15" customHeight="1" x14ac:dyDescent="0.2">
      <c r="H174" s="3">
        <f>+H172+UM!H333</f>
        <v>-1257356.3599999999</v>
      </c>
      <c r="I174" s="4">
        <f>+I172+UM!I333</f>
        <v>-18603864183.089985</v>
      </c>
    </row>
    <row r="175" spans="1:9" ht="15" customHeight="1" x14ac:dyDescent="0.2">
      <c r="H175" s="4">
        <v>-1267356.3599999996</v>
      </c>
      <c r="I175" s="4">
        <v>-18945222149.222202</v>
      </c>
    </row>
    <row r="176" spans="1:9" ht="15" customHeight="1" x14ac:dyDescent="0.2">
      <c r="H176" s="4">
        <f>+H174-H175</f>
        <v>9999.9999999997672</v>
      </c>
      <c r="I176" s="4">
        <f>+I175-I174</f>
        <v>-341357966.13221741</v>
      </c>
    </row>
    <row r="178" spans="1:9" s="232" customFormat="1" ht="15" customHeight="1" x14ac:dyDescent="0.2">
      <c r="A178" s="231">
        <v>45085</v>
      </c>
      <c r="B178" s="231"/>
      <c r="C178" s="232" t="s">
        <v>276</v>
      </c>
      <c r="D178" s="16">
        <v>218676.04</v>
      </c>
      <c r="E178" s="188">
        <v>3276204431.2800002</v>
      </c>
      <c r="F178" s="16"/>
      <c r="G178" s="188"/>
      <c r="H178" s="16">
        <f>+H172+D178-F178</f>
        <v>375248.54999999993</v>
      </c>
      <c r="I178" s="188">
        <f>+I172+E178-G178</f>
        <v>5997423962.2160187</v>
      </c>
    </row>
    <row r="179" spans="1:9" s="232" customFormat="1" ht="15" customHeight="1" x14ac:dyDescent="0.2">
      <c r="A179" s="231">
        <v>45091</v>
      </c>
      <c r="B179" s="231"/>
      <c r="C179" s="232" t="s">
        <v>40</v>
      </c>
      <c r="D179" s="16">
        <v>128101.74</v>
      </c>
      <c r="E179" s="188">
        <v>1905129077.28</v>
      </c>
      <c r="F179" s="16"/>
      <c r="G179" s="188"/>
      <c r="H179" s="16">
        <f>+H178+D179-F179</f>
        <v>503350.28999999992</v>
      </c>
      <c r="I179" s="188">
        <f>+I178+E179-G179</f>
        <v>7902553039.4960184</v>
      </c>
    </row>
    <row r="180" spans="1:9" s="232" customFormat="1" ht="15" customHeight="1" x14ac:dyDescent="0.2">
      <c r="A180" s="231">
        <v>45092</v>
      </c>
      <c r="B180" s="231"/>
      <c r="C180" s="232" t="s">
        <v>40</v>
      </c>
      <c r="D180" s="16">
        <v>132585.10999999999</v>
      </c>
      <c r="E180" s="188">
        <v>1971805755.9200001</v>
      </c>
      <c r="F180" s="188"/>
      <c r="G180" s="188"/>
      <c r="H180" s="16">
        <f t="shared" ref="H180:H213" si="21">+H179+D180-F180</f>
        <v>635935.39999999991</v>
      </c>
      <c r="I180" s="188">
        <f t="shared" ref="I180:I213" si="22">+I179+E180-G180</f>
        <v>9874358795.4160194</v>
      </c>
    </row>
    <row r="181" spans="1:9" s="232" customFormat="1" ht="15" customHeight="1" x14ac:dyDescent="0.2">
      <c r="A181" s="231">
        <v>45092</v>
      </c>
      <c r="B181" s="231"/>
      <c r="C181" s="232" t="s">
        <v>16</v>
      </c>
      <c r="D181" s="16">
        <v>94308.85</v>
      </c>
      <c r="E181" s="188">
        <v>1402561217.2</v>
      </c>
      <c r="F181" s="16"/>
      <c r="G181" s="188"/>
      <c r="H181" s="16">
        <f t="shared" si="21"/>
        <v>730244.24999999988</v>
      </c>
      <c r="I181" s="188">
        <f t="shared" si="22"/>
        <v>11276920012.61602</v>
      </c>
    </row>
    <row r="182" spans="1:9" s="232" customFormat="1" ht="15" customHeight="1" x14ac:dyDescent="0.2">
      <c r="A182" s="231">
        <v>45098</v>
      </c>
      <c r="B182" s="231"/>
      <c r="C182" s="232" t="s">
        <v>277</v>
      </c>
      <c r="D182" s="233">
        <v>74561.39</v>
      </c>
      <c r="E182" s="188">
        <v>1111337517.95</v>
      </c>
      <c r="F182" s="16"/>
      <c r="G182" s="188"/>
      <c r="H182" s="16">
        <f t="shared" si="21"/>
        <v>804805.6399999999</v>
      </c>
      <c r="I182" s="188">
        <f t="shared" si="22"/>
        <v>12388257530.566021</v>
      </c>
    </row>
    <row r="183" spans="1:9" s="232" customFormat="1" ht="15" customHeight="1" x14ac:dyDescent="0.2">
      <c r="A183" s="231">
        <v>45098</v>
      </c>
      <c r="B183" s="231"/>
      <c r="C183" s="232" t="s">
        <v>277</v>
      </c>
      <c r="D183" s="16">
        <v>74462.820000000007</v>
      </c>
      <c r="E183" s="188">
        <v>1109868332.0999999</v>
      </c>
      <c r="F183" s="16"/>
      <c r="G183" s="188"/>
      <c r="H183" s="16">
        <f t="shared" si="21"/>
        <v>879268.46</v>
      </c>
      <c r="I183" s="188">
        <f t="shared" si="22"/>
        <v>13498125862.666021</v>
      </c>
    </row>
    <row r="184" spans="1:9" s="232" customFormat="1" ht="15" customHeight="1" x14ac:dyDescent="0.2">
      <c r="A184" s="231">
        <v>45098</v>
      </c>
      <c r="B184" s="231"/>
      <c r="C184" s="232" t="s">
        <v>40</v>
      </c>
      <c r="D184" s="16">
        <v>129353.22</v>
      </c>
      <c r="E184" s="188">
        <v>1928009744.0999999</v>
      </c>
      <c r="F184" s="16"/>
      <c r="G184" s="188"/>
      <c r="H184" s="16">
        <f t="shared" si="21"/>
        <v>1008621.6799999999</v>
      </c>
      <c r="I184" s="188">
        <f t="shared" si="22"/>
        <v>15426135606.766022</v>
      </c>
    </row>
    <row r="185" spans="1:9" s="232" customFormat="1" ht="15" customHeight="1" x14ac:dyDescent="0.2">
      <c r="A185" s="231">
        <v>45098</v>
      </c>
      <c r="B185" s="231"/>
      <c r="C185" s="232" t="s">
        <v>40</v>
      </c>
      <c r="D185" s="16">
        <v>128629.62</v>
      </c>
      <c r="E185" s="188">
        <v>1917224486.0999999</v>
      </c>
      <c r="F185" s="188"/>
      <c r="G185" s="188"/>
      <c r="H185" s="16">
        <f t="shared" si="21"/>
        <v>1137251.2999999998</v>
      </c>
      <c r="I185" s="188">
        <f t="shared" si="22"/>
        <v>17343360092.86602</v>
      </c>
    </row>
    <row r="186" spans="1:9" s="232" customFormat="1" ht="15" customHeight="1" x14ac:dyDescent="0.2">
      <c r="A186" s="231">
        <v>45105</v>
      </c>
      <c r="B186" s="231"/>
      <c r="C186" s="232" t="s">
        <v>40</v>
      </c>
      <c r="D186" s="16">
        <v>255821.92</v>
      </c>
      <c r="E186" s="188">
        <v>3834003115.04</v>
      </c>
      <c r="F186" s="16"/>
      <c r="G186" s="188"/>
      <c r="H186" s="16">
        <f t="shared" si="21"/>
        <v>1393073.2199999997</v>
      </c>
      <c r="I186" s="188">
        <f t="shared" si="22"/>
        <v>21177363207.906021</v>
      </c>
    </row>
    <row r="187" spans="1:9" s="232" customFormat="1" ht="15" customHeight="1" x14ac:dyDescent="0.2">
      <c r="A187" s="231">
        <v>45105</v>
      </c>
      <c r="B187" s="231"/>
      <c r="C187" s="232" t="s">
        <v>40</v>
      </c>
      <c r="D187" s="16">
        <v>127374.47</v>
      </c>
      <c r="E187" s="188">
        <v>1908961181.8900001</v>
      </c>
      <c r="F187" s="16"/>
      <c r="G187" s="188"/>
      <c r="H187" s="16">
        <f t="shared" si="21"/>
        <v>1520447.6899999997</v>
      </c>
      <c r="I187" s="188">
        <f t="shared" si="22"/>
        <v>23086324389.796021</v>
      </c>
    </row>
    <row r="188" spans="1:9" s="232" customFormat="1" ht="15" customHeight="1" x14ac:dyDescent="0.2">
      <c r="A188" s="231">
        <v>45085</v>
      </c>
      <c r="B188" s="231"/>
      <c r="C188" s="232" t="s">
        <v>278</v>
      </c>
      <c r="D188" s="16"/>
      <c r="E188" s="188"/>
      <c r="F188" s="16">
        <v>177009.48</v>
      </c>
      <c r="G188" s="188">
        <v>2633017785.0900002</v>
      </c>
      <c r="H188" s="16">
        <f t="shared" si="21"/>
        <v>1343438.2099999997</v>
      </c>
      <c r="I188" s="188">
        <f t="shared" si="22"/>
        <v>20453306604.70602</v>
      </c>
    </row>
    <row r="189" spans="1:9" s="232" customFormat="1" ht="15" customHeight="1" x14ac:dyDescent="0.2">
      <c r="A189" s="231">
        <v>45085</v>
      </c>
      <c r="B189" s="231"/>
      <c r="C189" s="232" t="s">
        <v>17</v>
      </c>
      <c r="D189" s="16"/>
      <c r="E189" s="188"/>
      <c r="F189" s="16">
        <v>30</v>
      </c>
      <c r="G189" s="188">
        <v>446250.3</v>
      </c>
      <c r="H189" s="16">
        <f t="shared" si="21"/>
        <v>1343408.2099999997</v>
      </c>
      <c r="I189" s="188">
        <f t="shared" si="22"/>
        <v>20452860354.406021</v>
      </c>
    </row>
    <row r="190" spans="1:9" s="232" customFormat="1" ht="15" customHeight="1" x14ac:dyDescent="0.2">
      <c r="A190" s="231">
        <v>45085</v>
      </c>
      <c r="B190" s="231"/>
      <c r="C190" s="232" t="s">
        <v>255</v>
      </c>
      <c r="D190" s="16"/>
      <c r="E190" s="188"/>
      <c r="F190" s="149">
        <v>41636.559999999998</v>
      </c>
      <c r="G190" s="241">
        <v>630377518.39999998</v>
      </c>
      <c r="H190" s="16">
        <f t="shared" si="21"/>
        <v>1301771.6499999997</v>
      </c>
      <c r="I190" s="188">
        <f t="shared" si="22"/>
        <v>19822482836.00602</v>
      </c>
    </row>
    <row r="191" spans="1:9" s="232" customFormat="1" ht="15" customHeight="1" x14ac:dyDescent="0.2">
      <c r="A191" s="231">
        <v>45086</v>
      </c>
      <c r="B191" s="231"/>
      <c r="C191" s="232" t="s">
        <v>281</v>
      </c>
      <c r="D191" s="16"/>
      <c r="E191" s="188"/>
      <c r="F191" s="16">
        <v>59648.82</v>
      </c>
      <c r="G191" s="188">
        <v>888946364.46000004</v>
      </c>
      <c r="H191" s="16">
        <f t="shared" si="21"/>
        <v>1242122.8299999996</v>
      </c>
      <c r="I191" s="188">
        <f t="shared" si="22"/>
        <v>18933536471.546021</v>
      </c>
    </row>
    <row r="192" spans="1:9" s="232" customFormat="1" ht="15" customHeight="1" x14ac:dyDescent="0.2">
      <c r="A192" s="231">
        <v>45086</v>
      </c>
      <c r="B192" s="231"/>
      <c r="C192" s="232" t="s">
        <v>17</v>
      </c>
      <c r="D192" s="16"/>
      <c r="E192" s="188"/>
      <c r="F192" s="16">
        <v>42</v>
      </c>
      <c r="G192" s="188">
        <v>625926</v>
      </c>
      <c r="H192" s="16">
        <f t="shared" si="21"/>
        <v>1242080.8299999996</v>
      </c>
      <c r="I192" s="188">
        <f t="shared" si="22"/>
        <v>18932910545.546021</v>
      </c>
    </row>
    <row r="193" spans="1:9" s="232" customFormat="1" ht="15" customHeight="1" x14ac:dyDescent="0.2">
      <c r="A193" s="231">
        <v>45086</v>
      </c>
      <c r="B193" s="231"/>
      <c r="C193" s="232" t="s">
        <v>255</v>
      </c>
      <c r="D193" s="160"/>
      <c r="E193" s="242"/>
      <c r="F193" s="149">
        <v>14772</v>
      </c>
      <c r="G193" s="241">
        <v>227621748</v>
      </c>
      <c r="H193" s="16">
        <f t="shared" si="21"/>
        <v>1227308.8299999996</v>
      </c>
      <c r="I193" s="188">
        <f t="shared" si="22"/>
        <v>18705288797.546021</v>
      </c>
    </row>
    <row r="194" spans="1:9" s="232" customFormat="1" ht="15" customHeight="1" x14ac:dyDescent="0.2">
      <c r="A194" s="231">
        <v>45092</v>
      </c>
      <c r="B194" s="231"/>
      <c r="C194" s="232" t="s">
        <v>286</v>
      </c>
      <c r="D194" s="16"/>
      <c r="E194" s="188"/>
      <c r="F194" s="16">
        <v>99353.22</v>
      </c>
      <c r="G194" s="188">
        <v>1479866211.9000001</v>
      </c>
      <c r="H194" s="16">
        <f t="shared" si="21"/>
        <v>1127955.6099999996</v>
      </c>
      <c r="I194" s="188">
        <f t="shared" si="22"/>
        <v>17225422585.646019</v>
      </c>
    </row>
    <row r="195" spans="1:9" s="232" customFormat="1" ht="15" customHeight="1" x14ac:dyDescent="0.2">
      <c r="A195" s="231">
        <v>45092</v>
      </c>
      <c r="B195" s="231"/>
      <c r="C195" s="232" t="s">
        <v>255</v>
      </c>
      <c r="D195" s="160"/>
      <c r="E195" s="242"/>
      <c r="F195" s="149">
        <v>10000</v>
      </c>
      <c r="G195" s="241">
        <v>153800000</v>
      </c>
      <c r="H195" s="16">
        <f t="shared" si="21"/>
        <v>1117955.6099999996</v>
      </c>
      <c r="I195" s="188">
        <f t="shared" si="22"/>
        <v>17071622585.646019</v>
      </c>
    </row>
    <row r="196" spans="1:9" s="232" customFormat="1" ht="15" customHeight="1" x14ac:dyDescent="0.2">
      <c r="A196" s="231">
        <v>45092</v>
      </c>
      <c r="B196" s="231"/>
      <c r="C196" s="232" t="s">
        <v>255</v>
      </c>
      <c r="D196" s="16"/>
      <c r="E196" s="188"/>
      <c r="F196" s="150">
        <v>20000</v>
      </c>
      <c r="G196" s="235">
        <v>298660000</v>
      </c>
      <c r="H196" s="16">
        <f t="shared" si="21"/>
        <v>1097955.6099999996</v>
      </c>
      <c r="I196" s="188">
        <f t="shared" si="22"/>
        <v>16772962585.646019</v>
      </c>
    </row>
    <row r="197" spans="1:9" s="232" customFormat="1" ht="15" customHeight="1" x14ac:dyDescent="0.2">
      <c r="A197" s="231">
        <v>45092</v>
      </c>
      <c r="B197" s="231"/>
      <c r="C197" s="232" t="s">
        <v>255</v>
      </c>
      <c r="D197" s="16"/>
      <c r="E197" s="188"/>
      <c r="F197" s="159">
        <v>94308.85</v>
      </c>
      <c r="G197" s="235">
        <v>1409257145.55</v>
      </c>
      <c r="H197" s="16">
        <f t="shared" si="21"/>
        <v>1003646.7599999997</v>
      </c>
      <c r="I197" s="188">
        <f t="shared" si="22"/>
        <v>15363705440.09602</v>
      </c>
    </row>
    <row r="198" spans="1:9" s="232" customFormat="1" ht="15" customHeight="1" x14ac:dyDescent="0.2">
      <c r="A198" s="231">
        <v>45092</v>
      </c>
      <c r="B198" s="231"/>
      <c r="C198" s="232" t="s">
        <v>289</v>
      </c>
      <c r="D198" s="16"/>
      <c r="E198" s="188"/>
      <c r="F198" s="16">
        <v>105071.74</v>
      </c>
      <c r="G198" s="188">
        <v>1565043567.3</v>
      </c>
      <c r="H198" s="16">
        <f t="shared" si="21"/>
        <v>898575.01999999967</v>
      </c>
      <c r="I198" s="188">
        <f t="shared" si="22"/>
        <v>13798661872.796021</v>
      </c>
    </row>
    <row r="199" spans="1:9" s="232" customFormat="1" ht="15" customHeight="1" x14ac:dyDescent="0.2">
      <c r="A199" s="231">
        <v>45092</v>
      </c>
      <c r="B199" s="231"/>
      <c r="C199" s="232" t="s">
        <v>17</v>
      </c>
      <c r="D199" s="16"/>
      <c r="E199" s="188"/>
      <c r="F199" s="16">
        <v>30</v>
      </c>
      <c r="G199" s="188">
        <v>446850</v>
      </c>
      <c r="H199" s="16">
        <f t="shared" si="21"/>
        <v>898545.01999999967</v>
      </c>
      <c r="I199" s="188">
        <f t="shared" si="22"/>
        <v>13798215022.796021</v>
      </c>
    </row>
    <row r="200" spans="1:9" s="232" customFormat="1" ht="15" customHeight="1" x14ac:dyDescent="0.2">
      <c r="A200" s="231">
        <v>45092</v>
      </c>
      <c r="B200" s="231"/>
      <c r="C200" s="232" t="s">
        <v>255</v>
      </c>
      <c r="D200" s="16"/>
      <c r="E200" s="188"/>
      <c r="F200" s="150">
        <v>23000</v>
      </c>
      <c r="G200" s="235">
        <v>343459000</v>
      </c>
      <c r="H200" s="16">
        <f t="shared" si="21"/>
        <v>875545.01999999967</v>
      </c>
      <c r="I200" s="188">
        <f t="shared" si="22"/>
        <v>13454756022.796021</v>
      </c>
    </row>
    <row r="201" spans="1:9" s="232" customFormat="1" ht="15" customHeight="1" x14ac:dyDescent="0.2">
      <c r="A201" s="231">
        <v>45098</v>
      </c>
      <c r="B201" s="231"/>
      <c r="C201" s="232" t="s">
        <v>255</v>
      </c>
      <c r="D201" s="160"/>
      <c r="E201" s="242"/>
      <c r="F201" s="243">
        <v>14772</v>
      </c>
      <c r="G201" s="241">
        <v>228862596</v>
      </c>
      <c r="H201" s="16">
        <f t="shared" si="21"/>
        <v>860773.01999999967</v>
      </c>
      <c r="I201" s="188">
        <f t="shared" si="22"/>
        <v>13225893426.796021</v>
      </c>
    </row>
    <row r="202" spans="1:9" s="232" customFormat="1" ht="15" customHeight="1" x14ac:dyDescent="0.2">
      <c r="A202" s="231">
        <v>45103</v>
      </c>
      <c r="B202" s="231"/>
      <c r="C202" s="232" t="s">
        <v>279</v>
      </c>
      <c r="D202" s="16"/>
      <c r="E202" s="188"/>
      <c r="F202" s="16">
        <v>109555.11</v>
      </c>
      <c r="G202" s="188">
        <v>1643107539.78</v>
      </c>
      <c r="H202" s="16">
        <f t="shared" si="21"/>
        <v>751217.90999999968</v>
      </c>
      <c r="I202" s="188">
        <f t="shared" si="22"/>
        <v>11582785887.01602</v>
      </c>
    </row>
    <row r="203" spans="1:9" s="232" customFormat="1" ht="15" customHeight="1" x14ac:dyDescent="0.2">
      <c r="A203" s="231">
        <v>45103</v>
      </c>
      <c r="B203" s="231"/>
      <c r="C203" s="232" t="s">
        <v>17</v>
      </c>
      <c r="D203" s="16"/>
      <c r="E203" s="188"/>
      <c r="F203" s="16">
        <v>30</v>
      </c>
      <c r="G203" s="188">
        <v>449940</v>
      </c>
      <c r="H203" s="16">
        <f t="shared" si="21"/>
        <v>751187.90999999968</v>
      </c>
      <c r="I203" s="188">
        <f t="shared" si="22"/>
        <v>11582335947.01602</v>
      </c>
    </row>
    <row r="204" spans="1:9" s="232" customFormat="1" ht="15" customHeight="1" x14ac:dyDescent="0.2">
      <c r="A204" s="231">
        <v>45103</v>
      </c>
      <c r="B204" s="231"/>
      <c r="C204" s="232" t="s">
        <v>255</v>
      </c>
      <c r="D204" s="16"/>
      <c r="E204" s="188"/>
      <c r="F204" s="150">
        <v>23000</v>
      </c>
      <c r="G204" s="235">
        <v>343459000</v>
      </c>
      <c r="H204" s="16">
        <f t="shared" si="21"/>
        <v>728187.90999999968</v>
      </c>
      <c r="I204" s="188">
        <f t="shared" si="22"/>
        <v>11238876947.01602</v>
      </c>
    </row>
    <row r="205" spans="1:9" s="232" customFormat="1" ht="15" customHeight="1" x14ac:dyDescent="0.2">
      <c r="A205" s="231">
        <v>45104</v>
      </c>
      <c r="B205" s="231"/>
      <c r="C205" s="232" t="s">
        <v>280</v>
      </c>
      <c r="D205" s="16"/>
      <c r="E205" s="188"/>
      <c r="F205" s="16">
        <v>105599.62</v>
      </c>
      <c r="G205" s="188">
        <v>1586739890.1199999</v>
      </c>
      <c r="H205" s="16">
        <f t="shared" si="21"/>
        <v>622588.28999999969</v>
      </c>
      <c r="I205" s="188">
        <f t="shared" si="22"/>
        <v>9652137056.896019</v>
      </c>
    </row>
    <row r="206" spans="1:9" s="232" customFormat="1" ht="15" customHeight="1" x14ac:dyDescent="0.2">
      <c r="A206" s="231">
        <v>45104</v>
      </c>
      <c r="B206" s="231"/>
      <c r="C206" s="232" t="s">
        <v>17</v>
      </c>
      <c r="D206" s="16"/>
      <c r="E206" s="188"/>
      <c r="F206" s="16">
        <v>30</v>
      </c>
      <c r="G206" s="188">
        <v>450780</v>
      </c>
      <c r="H206" s="16">
        <f t="shared" si="21"/>
        <v>622558.28999999969</v>
      </c>
      <c r="I206" s="188">
        <f t="shared" si="22"/>
        <v>9651686276.896019</v>
      </c>
    </row>
    <row r="207" spans="1:9" s="232" customFormat="1" ht="15" customHeight="1" x14ac:dyDescent="0.2">
      <c r="A207" s="231">
        <v>45104</v>
      </c>
      <c r="B207" s="231"/>
      <c r="C207" s="232" t="s">
        <v>255</v>
      </c>
      <c r="D207" s="16"/>
      <c r="E207" s="188"/>
      <c r="F207" s="150">
        <v>23000</v>
      </c>
      <c r="G207" s="235">
        <v>343459000</v>
      </c>
      <c r="H207" s="16">
        <f t="shared" si="21"/>
        <v>599558.28999999969</v>
      </c>
      <c r="I207" s="188">
        <f t="shared" si="22"/>
        <v>9308227276.896019</v>
      </c>
    </row>
    <row r="208" spans="1:9" s="232" customFormat="1" ht="15" customHeight="1" x14ac:dyDescent="0.2">
      <c r="A208" s="231">
        <v>45105</v>
      </c>
      <c r="B208" s="231"/>
      <c r="C208" s="232" t="s">
        <v>255</v>
      </c>
      <c r="D208" s="16"/>
      <c r="E208" s="188"/>
      <c r="F208" s="150">
        <v>20909.599999999999</v>
      </c>
      <c r="G208" s="235">
        <v>312243056.80000001</v>
      </c>
      <c r="H208" s="16">
        <f t="shared" si="21"/>
        <v>578648.68999999971</v>
      </c>
      <c r="I208" s="188">
        <f t="shared" si="22"/>
        <v>8995984220.0960197</v>
      </c>
    </row>
    <row r="209" spans="1:9" s="232" customFormat="1" ht="15" customHeight="1" x14ac:dyDescent="0.2">
      <c r="A209" s="231">
        <v>45105</v>
      </c>
      <c r="B209" s="231"/>
      <c r="C209" s="232" t="s">
        <v>255</v>
      </c>
      <c r="D209" s="16"/>
      <c r="E209" s="188"/>
      <c r="F209" s="16">
        <v>20000</v>
      </c>
      <c r="G209" s="188">
        <v>298720000</v>
      </c>
      <c r="H209" s="16">
        <f t="shared" si="21"/>
        <v>558648.68999999971</v>
      </c>
      <c r="I209" s="188">
        <f t="shared" si="22"/>
        <v>8697264220.0960197</v>
      </c>
    </row>
    <row r="210" spans="1:9" s="232" customFormat="1" ht="15" customHeight="1" x14ac:dyDescent="0.2">
      <c r="A210" s="231">
        <v>45105</v>
      </c>
      <c r="B210" s="231"/>
      <c r="C210" s="232" t="s">
        <v>255</v>
      </c>
      <c r="D210" s="16"/>
      <c r="E210" s="188"/>
      <c r="F210" s="16">
        <v>20000</v>
      </c>
      <c r="G210" s="188">
        <v>298720000</v>
      </c>
      <c r="H210" s="16">
        <f t="shared" si="21"/>
        <v>538648.68999999971</v>
      </c>
      <c r="I210" s="188">
        <f t="shared" si="22"/>
        <v>8398544220.0960197</v>
      </c>
    </row>
    <row r="211" spans="1:9" s="232" customFormat="1" ht="15" customHeight="1" x14ac:dyDescent="0.2">
      <c r="A211" s="231">
        <v>45105</v>
      </c>
      <c r="B211" s="231"/>
      <c r="C211" s="232" t="s">
        <v>291</v>
      </c>
      <c r="D211" s="16"/>
      <c r="E211" s="188"/>
      <c r="F211" s="233">
        <v>91250.34</v>
      </c>
      <c r="G211" s="188">
        <v>1371127608.8399999</v>
      </c>
      <c r="H211" s="16">
        <f t="shared" si="21"/>
        <v>447398.34999999974</v>
      </c>
      <c r="I211" s="188">
        <f t="shared" si="22"/>
        <v>7027416611.2560196</v>
      </c>
    </row>
    <row r="212" spans="1:9" s="232" customFormat="1" ht="15" customHeight="1" x14ac:dyDescent="0.2">
      <c r="A212" s="231">
        <v>45105</v>
      </c>
      <c r="B212" s="231"/>
      <c r="C212" s="232" t="s">
        <v>17</v>
      </c>
      <c r="D212" s="16"/>
      <c r="E212" s="188"/>
      <c r="F212" s="233">
        <v>62</v>
      </c>
      <c r="G212" s="188">
        <v>931612</v>
      </c>
      <c r="H212" s="16">
        <f t="shared" si="21"/>
        <v>447336.34999999974</v>
      </c>
      <c r="I212" s="188">
        <f t="shared" si="22"/>
        <v>7026484999.2560196</v>
      </c>
    </row>
    <row r="213" spans="1:9" s="232" customFormat="1" ht="15" customHeight="1" x14ac:dyDescent="0.2">
      <c r="A213" s="231">
        <v>45107</v>
      </c>
      <c r="B213" s="2"/>
      <c r="C213" s="232" t="s">
        <v>18</v>
      </c>
      <c r="D213" s="16"/>
      <c r="E213" s="188">
        <v>43469975.399999</v>
      </c>
      <c r="F213" s="16"/>
      <c r="G213" s="188"/>
      <c r="H213" s="16">
        <f t="shared" si="21"/>
        <v>447336.34999999974</v>
      </c>
      <c r="I213" s="188">
        <f t="shared" si="22"/>
        <v>7069954974.6560183</v>
      </c>
    </row>
    <row r="215" spans="1:9" ht="15" customHeight="1" x14ac:dyDescent="0.2">
      <c r="H215" s="3">
        <f>+H213+UM!H351</f>
        <v>-681219.50999999989</v>
      </c>
      <c r="I215" s="4">
        <f>+I213+UM!I351</f>
        <v>-9961858293.3999863</v>
      </c>
    </row>
    <row r="216" spans="1:9" ht="15" customHeight="1" x14ac:dyDescent="0.2">
      <c r="H216" s="3">
        <v>-691219.50999999954</v>
      </c>
      <c r="I216" s="4">
        <v>-10303216259.528202</v>
      </c>
    </row>
    <row r="217" spans="1:9" ht="15" customHeight="1" x14ac:dyDescent="0.2">
      <c r="H217" s="3">
        <f>+H215-H216</f>
        <v>9999.9999999996508</v>
      </c>
      <c r="I217" s="4">
        <f>+I215-I216</f>
        <v>341357966.12821579</v>
      </c>
    </row>
    <row r="220" spans="1:9" s="232" customFormat="1" ht="12.75" x14ac:dyDescent="0.2">
      <c r="A220" s="231">
        <v>45112</v>
      </c>
      <c r="B220" s="231"/>
      <c r="C220" s="232" t="s">
        <v>277</v>
      </c>
      <c r="D220" s="16">
        <v>74004.11</v>
      </c>
      <c r="E220" s="188">
        <v>1111023703.4300001</v>
      </c>
      <c r="F220" s="16"/>
      <c r="G220" s="188"/>
      <c r="H220" s="16">
        <f>+H213+D220-F220</f>
        <v>521340.45999999973</v>
      </c>
      <c r="I220" s="188">
        <f>+I213+E220-G220</f>
        <v>8180978678.0860186</v>
      </c>
    </row>
    <row r="221" spans="1:9" s="232" customFormat="1" ht="15" customHeight="1" x14ac:dyDescent="0.2">
      <c r="A221" s="231">
        <v>45119</v>
      </c>
      <c r="B221" s="231"/>
      <c r="C221" s="232" t="s">
        <v>277</v>
      </c>
      <c r="D221" s="16">
        <v>72933.350000000006</v>
      </c>
      <c r="E221" s="188">
        <v>1097865717.55</v>
      </c>
      <c r="F221" s="16"/>
      <c r="G221" s="188"/>
      <c r="H221" s="16">
        <f>+H220+D221-F221</f>
        <v>594273.80999999971</v>
      </c>
      <c r="I221" s="188">
        <f>+I220+E221-G221</f>
        <v>9278844395.6360188</v>
      </c>
    </row>
    <row r="222" spans="1:9" s="232" customFormat="1" ht="15" customHeight="1" x14ac:dyDescent="0.2">
      <c r="A222" s="231">
        <v>45125</v>
      </c>
      <c r="B222" s="231"/>
      <c r="C222" s="232" t="s">
        <v>277</v>
      </c>
      <c r="D222" s="16">
        <v>71439.509999999995</v>
      </c>
      <c r="E222" s="188">
        <v>1075378944.03</v>
      </c>
      <c r="F222" s="16"/>
      <c r="G222" s="188"/>
      <c r="H222" s="16">
        <f t="shared" ref="H222:H266" si="23">+H221+D222-F222</f>
        <v>665713.31999999972</v>
      </c>
      <c r="I222" s="188">
        <f t="shared" ref="I222:I266" si="24">+I221+E222-G222</f>
        <v>10354223339.666019</v>
      </c>
    </row>
    <row r="223" spans="1:9" s="232" customFormat="1" ht="15" customHeight="1" x14ac:dyDescent="0.2">
      <c r="A223" s="231">
        <v>45125</v>
      </c>
      <c r="B223" s="231"/>
      <c r="C223" s="232" t="s">
        <v>314</v>
      </c>
      <c r="D223" s="16">
        <v>68890</v>
      </c>
      <c r="E223" s="188">
        <v>1037001170</v>
      </c>
      <c r="F223" s="16"/>
      <c r="G223" s="188"/>
      <c r="H223" s="16">
        <f t="shared" si="23"/>
        <v>734603.31999999972</v>
      </c>
      <c r="I223" s="188">
        <f t="shared" si="24"/>
        <v>11391224509.666019</v>
      </c>
    </row>
    <row r="224" spans="1:9" s="232" customFormat="1" ht="15" customHeight="1" x14ac:dyDescent="0.2">
      <c r="A224" s="231">
        <v>45127</v>
      </c>
      <c r="B224" s="231"/>
      <c r="C224" s="232" t="s">
        <v>315</v>
      </c>
      <c r="D224" s="233">
        <v>135982.34</v>
      </c>
      <c r="E224" s="188">
        <v>2049661810.8199999</v>
      </c>
      <c r="F224" s="16"/>
      <c r="G224" s="188"/>
      <c r="H224" s="16">
        <f t="shared" si="23"/>
        <v>870585.65999999968</v>
      </c>
      <c r="I224" s="188">
        <f t="shared" si="24"/>
        <v>13440886320.486019</v>
      </c>
    </row>
    <row r="225" spans="1:9" s="232" customFormat="1" ht="15" customHeight="1" x14ac:dyDescent="0.2">
      <c r="A225" s="231">
        <v>45127</v>
      </c>
      <c r="B225" s="231"/>
      <c r="C225" s="232" t="s">
        <v>40</v>
      </c>
      <c r="D225" s="16">
        <v>254103.39</v>
      </c>
      <c r="E225" s="188">
        <v>3830100397.4699998</v>
      </c>
      <c r="F225" s="16"/>
      <c r="G225" s="188"/>
      <c r="H225" s="16">
        <f t="shared" si="23"/>
        <v>1124689.0499999998</v>
      </c>
      <c r="I225" s="188">
        <f t="shared" si="24"/>
        <v>17270986717.95602</v>
      </c>
    </row>
    <row r="226" spans="1:9" s="232" customFormat="1" ht="15" customHeight="1" x14ac:dyDescent="0.2">
      <c r="A226" s="231">
        <v>45128</v>
      </c>
      <c r="B226" s="231"/>
      <c r="C226" s="232" t="s">
        <v>55</v>
      </c>
      <c r="D226" s="16">
        <v>70435.22</v>
      </c>
      <c r="E226" s="188">
        <v>1061670071.0599999</v>
      </c>
      <c r="F226" s="16"/>
      <c r="G226" s="188"/>
      <c r="H226" s="16">
        <f t="shared" si="23"/>
        <v>1195124.2699999998</v>
      </c>
      <c r="I226" s="188">
        <f t="shared" si="24"/>
        <v>18332656789.016022</v>
      </c>
    </row>
    <row r="227" spans="1:9" s="232" customFormat="1" ht="15" customHeight="1" x14ac:dyDescent="0.2">
      <c r="A227" s="231">
        <v>45131</v>
      </c>
      <c r="B227" s="231"/>
      <c r="C227" s="232" t="s">
        <v>40</v>
      </c>
      <c r="D227" s="16">
        <v>124118.14</v>
      </c>
      <c r="E227" s="188">
        <v>1870832724.22</v>
      </c>
      <c r="F227" s="16"/>
      <c r="G227" s="16"/>
      <c r="H227" s="16">
        <f t="shared" si="23"/>
        <v>1319242.4099999997</v>
      </c>
      <c r="I227" s="188">
        <f t="shared" si="24"/>
        <v>20203489513.236023</v>
      </c>
    </row>
    <row r="228" spans="1:9" s="232" customFormat="1" ht="15" customHeight="1" x14ac:dyDescent="0.2">
      <c r="A228" s="231">
        <v>45132</v>
      </c>
      <c r="B228" s="231"/>
      <c r="C228" s="232" t="s">
        <v>40</v>
      </c>
      <c r="D228" s="16">
        <v>185618.82</v>
      </c>
      <c r="E228" s="188">
        <v>2797832473.8600001</v>
      </c>
      <c r="F228" s="16"/>
      <c r="G228" s="188"/>
      <c r="H228" s="16">
        <f t="shared" si="23"/>
        <v>1504861.2299999997</v>
      </c>
      <c r="I228" s="188">
        <f t="shared" si="24"/>
        <v>23001321987.096024</v>
      </c>
    </row>
    <row r="229" spans="1:9" s="232" customFormat="1" ht="15" customHeight="1" x14ac:dyDescent="0.2">
      <c r="A229" s="231">
        <v>45135</v>
      </c>
      <c r="B229" s="231"/>
      <c r="C229" s="232" t="s">
        <v>40</v>
      </c>
      <c r="D229" s="16">
        <v>124011.78</v>
      </c>
      <c r="E229" s="188">
        <v>1860796758.9000001</v>
      </c>
      <c r="F229" s="16"/>
      <c r="G229" s="188"/>
      <c r="H229" s="16">
        <f t="shared" si="23"/>
        <v>1628873.0099999998</v>
      </c>
      <c r="I229" s="188">
        <f t="shared" si="24"/>
        <v>24862118745.996025</v>
      </c>
    </row>
    <row r="230" spans="1:9" s="232" customFormat="1" ht="15" customHeight="1" x14ac:dyDescent="0.2">
      <c r="A230" s="231">
        <v>45135</v>
      </c>
      <c r="B230" s="231"/>
      <c r="C230" s="232" t="s">
        <v>40</v>
      </c>
      <c r="D230" s="16">
        <v>122373.47</v>
      </c>
      <c r="E230" s="188">
        <v>1836213917.3499999</v>
      </c>
      <c r="F230" s="16"/>
      <c r="G230" s="188"/>
      <c r="H230" s="16">
        <f t="shared" si="23"/>
        <v>1751246.4799999997</v>
      </c>
      <c r="I230" s="188">
        <f t="shared" si="24"/>
        <v>26698332663.346024</v>
      </c>
    </row>
    <row r="231" spans="1:9" s="232" customFormat="1" ht="15" customHeight="1" x14ac:dyDescent="0.2">
      <c r="A231" s="231">
        <v>45110</v>
      </c>
      <c r="B231" s="231"/>
      <c r="C231" s="232" t="s">
        <v>284</v>
      </c>
      <c r="D231" s="16"/>
      <c r="E231" s="188"/>
      <c r="F231" s="16">
        <v>107344.47</v>
      </c>
      <c r="G231" s="188">
        <v>1610167050</v>
      </c>
      <c r="H231" s="16">
        <f t="shared" si="23"/>
        <v>1643902.0099999998</v>
      </c>
      <c r="I231" s="188">
        <f t="shared" si="24"/>
        <v>25088165613.346024</v>
      </c>
    </row>
    <row r="232" spans="1:9" s="232" customFormat="1" ht="15" customHeight="1" x14ac:dyDescent="0.2">
      <c r="A232" s="231">
        <v>45110</v>
      </c>
      <c r="B232" s="231"/>
      <c r="C232" s="232" t="s">
        <v>17</v>
      </c>
      <c r="D232" s="16"/>
      <c r="E232" s="188"/>
      <c r="F232" s="16">
        <v>30</v>
      </c>
      <c r="G232" s="188">
        <v>450000</v>
      </c>
      <c r="H232" s="16">
        <f t="shared" si="23"/>
        <v>1643872.0099999998</v>
      </c>
      <c r="I232" s="188">
        <f t="shared" si="24"/>
        <v>25087715613.346024</v>
      </c>
    </row>
    <row r="233" spans="1:9" s="232" customFormat="1" ht="15" customHeight="1" x14ac:dyDescent="0.2">
      <c r="A233" s="231">
        <v>45110</v>
      </c>
      <c r="C233" s="232" t="s">
        <v>283</v>
      </c>
      <c r="D233" s="16"/>
      <c r="E233" s="188"/>
      <c r="F233" s="159">
        <v>214882.32</v>
      </c>
      <c r="G233" s="235">
        <v>3223234800</v>
      </c>
      <c r="H233" s="16">
        <f t="shared" si="23"/>
        <v>1428989.6899999997</v>
      </c>
      <c r="I233" s="188">
        <f t="shared" si="24"/>
        <v>21864480813.346024</v>
      </c>
    </row>
    <row r="234" spans="1:9" s="232" customFormat="1" ht="15" customHeight="1" x14ac:dyDescent="0.2">
      <c r="A234" s="231">
        <v>45110</v>
      </c>
      <c r="B234" s="188"/>
      <c r="C234" s="188" t="s">
        <v>17</v>
      </c>
      <c r="D234" s="16"/>
      <c r="E234" s="188"/>
      <c r="F234" s="188">
        <v>30</v>
      </c>
      <c r="G234" s="188">
        <v>450000</v>
      </c>
      <c r="H234" s="16">
        <f t="shared" si="23"/>
        <v>1428959.6899999997</v>
      </c>
      <c r="I234" s="188">
        <f t="shared" si="24"/>
        <v>21864030813.346024</v>
      </c>
    </row>
    <row r="235" spans="1:9" s="232" customFormat="1" ht="15" customHeight="1" x14ac:dyDescent="0.2">
      <c r="A235" s="231">
        <v>45112</v>
      </c>
      <c r="B235" s="231"/>
      <c r="C235" s="232" t="s">
        <v>316</v>
      </c>
      <c r="D235" s="16"/>
      <c r="E235" s="188"/>
      <c r="F235" s="16">
        <v>58790.11</v>
      </c>
      <c r="G235" s="188">
        <v>882909871.98000002</v>
      </c>
      <c r="H235" s="16">
        <f t="shared" si="23"/>
        <v>1370169.5799999996</v>
      </c>
      <c r="I235" s="188">
        <f t="shared" si="24"/>
        <v>20981120941.366024</v>
      </c>
    </row>
    <row r="236" spans="1:9" s="232" customFormat="1" ht="15" customHeight="1" x14ac:dyDescent="0.2">
      <c r="A236" s="231">
        <v>45112</v>
      </c>
      <c r="B236" s="231"/>
      <c r="C236" s="232" t="s">
        <v>17</v>
      </c>
      <c r="D236" s="16"/>
      <c r="E236" s="188"/>
      <c r="F236" s="16">
        <v>42</v>
      </c>
      <c r="G236" s="188">
        <v>630758</v>
      </c>
      <c r="H236" s="16">
        <f t="shared" si="23"/>
        <v>1370127.5799999996</v>
      </c>
      <c r="I236" s="188">
        <f t="shared" si="24"/>
        <v>20980490183.366024</v>
      </c>
    </row>
    <row r="237" spans="1:9" s="232" customFormat="1" ht="15" customHeight="1" x14ac:dyDescent="0.2">
      <c r="A237" s="231">
        <v>45112</v>
      </c>
      <c r="C237" s="232" t="s">
        <v>176</v>
      </c>
      <c r="D237" s="160"/>
      <c r="E237" s="242"/>
      <c r="F237" s="149">
        <v>15172</v>
      </c>
      <c r="G237" s="241">
        <v>235059796</v>
      </c>
      <c r="H237" s="16">
        <f t="shared" si="23"/>
        <v>1354955.5799999996</v>
      </c>
      <c r="I237" s="188">
        <f t="shared" si="24"/>
        <v>20745430387.366024</v>
      </c>
    </row>
    <row r="238" spans="1:9" s="232" customFormat="1" ht="15" customHeight="1" x14ac:dyDescent="0.2">
      <c r="A238" s="231">
        <v>45113</v>
      </c>
      <c r="B238" s="231"/>
      <c r="C238" s="232" t="s">
        <v>327</v>
      </c>
      <c r="D238" s="16"/>
      <c r="E238" s="188"/>
      <c r="F238" s="16">
        <v>1050</v>
      </c>
      <c r="G238" s="188">
        <v>15763650</v>
      </c>
      <c r="H238" s="16">
        <f t="shared" si="23"/>
        <v>1353905.5799999996</v>
      </c>
      <c r="I238" s="188">
        <f t="shared" si="24"/>
        <v>20729666737.366024</v>
      </c>
    </row>
    <row r="239" spans="1:9" s="232" customFormat="1" ht="15" customHeight="1" x14ac:dyDescent="0.2">
      <c r="A239" s="231">
        <v>45118</v>
      </c>
      <c r="B239" s="231"/>
      <c r="C239" s="232" t="s">
        <v>320</v>
      </c>
      <c r="D239" s="16"/>
      <c r="E239" s="188"/>
      <c r="F239" s="16">
        <v>48706.22</v>
      </c>
      <c r="G239" s="188">
        <v>739944894.24000001</v>
      </c>
      <c r="H239" s="16">
        <f t="shared" si="23"/>
        <v>1305199.3599999996</v>
      </c>
      <c r="I239" s="188">
        <f t="shared" si="24"/>
        <v>19989721843.126022</v>
      </c>
    </row>
    <row r="240" spans="1:9" s="232" customFormat="1" ht="15" customHeight="1" x14ac:dyDescent="0.2">
      <c r="A240" s="231">
        <v>45118</v>
      </c>
      <c r="B240" s="231"/>
      <c r="C240" s="232" t="s">
        <v>17</v>
      </c>
      <c r="D240" s="16"/>
      <c r="E240" s="188"/>
      <c r="F240" s="16">
        <v>51</v>
      </c>
      <c r="G240" s="188">
        <v>774792</v>
      </c>
      <c r="H240" s="16">
        <f t="shared" si="23"/>
        <v>1305148.3599999996</v>
      </c>
      <c r="I240" s="188">
        <f t="shared" si="24"/>
        <v>19988947051.126022</v>
      </c>
    </row>
    <row r="241" spans="1:9" s="232" customFormat="1" ht="15" customHeight="1" x14ac:dyDescent="0.2">
      <c r="A241" s="231">
        <v>45118</v>
      </c>
      <c r="B241" s="231"/>
      <c r="C241" s="232" t="s">
        <v>176</v>
      </c>
      <c r="D241" s="16"/>
      <c r="E241" s="188"/>
      <c r="F241" s="16">
        <v>21678</v>
      </c>
      <c r="G241" s="188">
        <v>322460466.77999997</v>
      </c>
      <c r="H241" s="16">
        <f t="shared" si="23"/>
        <v>1283470.3599999996</v>
      </c>
      <c r="I241" s="188">
        <f t="shared" si="24"/>
        <v>19666486584.346024</v>
      </c>
    </row>
    <row r="242" spans="1:9" s="232" customFormat="1" ht="15" customHeight="1" x14ac:dyDescent="0.2">
      <c r="A242" s="231">
        <v>45121</v>
      </c>
      <c r="B242" s="231"/>
      <c r="C242" s="232" t="s">
        <v>317</v>
      </c>
      <c r="D242" s="160"/>
      <c r="E242" s="242"/>
      <c r="F242" s="160">
        <v>57719.35</v>
      </c>
      <c r="G242" s="242">
        <v>864520424.29999995</v>
      </c>
      <c r="H242" s="16">
        <f t="shared" si="23"/>
        <v>1225751.0099999995</v>
      </c>
      <c r="I242" s="188">
        <f t="shared" si="24"/>
        <v>18801966160.046024</v>
      </c>
    </row>
    <row r="243" spans="1:9" s="232" customFormat="1" ht="15" customHeight="1" x14ac:dyDescent="0.2">
      <c r="A243" s="231">
        <v>45121</v>
      </c>
      <c r="B243" s="231"/>
      <c r="C243" s="232" t="s">
        <v>17</v>
      </c>
      <c r="D243" s="16"/>
      <c r="E243" s="188"/>
      <c r="F243" s="16">
        <v>42</v>
      </c>
      <c r="G243" s="188">
        <v>629076</v>
      </c>
      <c r="H243" s="16">
        <f t="shared" si="23"/>
        <v>1225709.0099999995</v>
      </c>
      <c r="I243" s="188">
        <f t="shared" si="24"/>
        <v>18801337084.046024</v>
      </c>
    </row>
    <row r="244" spans="1:9" s="232" customFormat="1" ht="15" customHeight="1" x14ac:dyDescent="0.2">
      <c r="A244" s="231">
        <v>45121</v>
      </c>
      <c r="C244" s="232" t="s">
        <v>176</v>
      </c>
      <c r="D244" s="160"/>
      <c r="E244" s="242"/>
      <c r="F244" s="149">
        <v>15172</v>
      </c>
      <c r="G244" s="241">
        <v>236258384</v>
      </c>
      <c r="H244" s="16">
        <f t="shared" si="23"/>
        <v>1210537.0099999995</v>
      </c>
      <c r="I244" s="188">
        <f t="shared" si="24"/>
        <v>18565078700.046024</v>
      </c>
    </row>
    <row r="245" spans="1:9" s="232" customFormat="1" ht="15" customHeight="1" x14ac:dyDescent="0.2">
      <c r="A245" s="231">
        <v>45125</v>
      </c>
      <c r="B245" s="231"/>
      <c r="C245" s="232" t="s">
        <v>318</v>
      </c>
      <c r="D245" s="16"/>
      <c r="E245" s="188"/>
      <c r="F245" s="16">
        <v>56625.51</v>
      </c>
      <c r="G245" s="188">
        <v>849779028.57000005</v>
      </c>
      <c r="H245" s="16">
        <f t="shared" si="23"/>
        <v>1153911.4999999995</v>
      </c>
      <c r="I245" s="188">
        <f t="shared" si="24"/>
        <v>17715299671.476025</v>
      </c>
    </row>
    <row r="246" spans="1:9" s="232" customFormat="1" ht="15" customHeight="1" x14ac:dyDescent="0.2">
      <c r="A246" s="231">
        <v>45125</v>
      </c>
      <c r="B246" s="231"/>
      <c r="C246" s="232" t="s">
        <v>17</v>
      </c>
      <c r="D246" s="16"/>
      <c r="E246" s="188"/>
      <c r="F246" s="16">
        <v>42</v>
      </c>
      <c r="G246" s="188">
        <v>630294</v>
      </c>
      <c r="H246" s="16">
        <f t="shared" si="23"/>
        <v>1153869.4999999995</v>
      </c>
      <c r="I246" s="188">
        <f t="shared" si="24"/>
        <v>17714669377.476025</v>
      </c>
    </row>
    <row r="247" spans="1:9" s="232" customFormat="1" ht="15" customHeight="1" x14ac:dyDescent="0.2">
      <c r="A247" s="231">
        <v>45125</v>
      </c>
      <c r="C247" s="232" t="s">
        <v>176</v>
      </c>
      <c r="D247" s="160"/>
      <c r="E247" s="242"/>
      <c r="F247" s="149">
        <v>14772</v>
      </c>
      <c r="G247" s="241">
        <v>230029584</v>
      </c>
      <c r="H247" s="16">
        <f t="shared" si="23"/>
        <v>1139097.4999999995</v>
      </c>
      <c r="I247" s="188">
        <f t="shared" si="24"/>
        <v>17484639793.476025</v>
      </c>
    </row>
    <row r="248" spans="1:9" s="232" customFormat="1" ht="15" customHeight="1" x14ac:dyDescent="0.2">
      <c r="A248" s="231">
        <v>45127</v>
      </c>
      <c r="C248" s="232" t="s">
        <v>176</v>
      </c>
      <c r="D248" s="16"/>
      <c r="E248" s="188"/>
      <c r="F248" s="244">
        <v>44670</v>
      </c>
      <c r="G248" s="188">
        <v>654906870</v>
      </c>
      <c r="H248" s="16">
        <f t="shared" si="23"/>
        <v>1094427.4999999995</v>
      </c>
      <c r="I248" s="188">
        <f t="shared" si="24"/>
        <v>16829732923.476025</v>
      </c>
    </row>
    <row r="249" spans="1:9" s="232" customFormat="1" ht="15" customHeight="1" x14ac:dyDescent="0.2">
      <c r="A249" s="231">
        <v>45127</v>
      </c>
      <c r="C249" s="232" t="s">
        <v>319</v>
      </c>
      <c r="D249" s="16"/>
      <c r="E249" s="188"/>
      <c r="F249" s="16">
        <v>206073.39</v>
      </c>
      <c r="G249" s="188">
        <v>3089864409.6599998</v>
      </c>
      <c r="H249" s="16">
        <f t="shared" ref="H249:H251" si="25">+H248+D249-F249</f>
        <v>888354.10999999952</v>
      </c>
      <c r="I249" s="188">
        <f t="shared" ref="I249:I251" si="26">+I248+E249-G249</f>
        <v>13739868513.816025</v>
      </c>
    </row>
    <row r="250" spans="1:9" s="232" customFormat="1" ht="15" customHeight="1" x14ac:dyDescent="0.2">
      <c r="A250" s="231">
        <v>45127</v>
      </c>
      <c r="C250" s="232" t="s">
        <v>17</v>
      </c>
      <c r="D250" s="16"/>
      <c r="E250" s="188"/>
      <c r="F250" s="16">
        <v>30</v>
      </c>
      <c r="G250" s="188">
        <v>449820</v>
      </c>
      <c r="H250" s="16">
        <f t="shared" si="25"/>
        <v>888324.10999999952</v>
      </c>
      <c r="I250" s="188">
        <f t="shared" si="26"/>
        <v>13739418693.816025</v>
      </c>
    </row>
    <row r="251" spans="1:9" s="232" customFormat="1" ht="15" customHeight="1" x14ac:dyDescent="0.2">
      <c r="A251" s="231">
        <v>45127</v>
      </c>
      <c r="B251" s="231"/>
      <c r="C251" s="232" t="s">
        <v>176</v>
      </c>
      <c r="D251" s="16"/>
      <c r="E251" s="188"/>
      <c r="F251" s="16">
        <v>48000</v>
      </c>
      <c r="G251" s="188">
        <v>716928000</v>
      </c>
      <c r="H251" s="16">
        <f t="shared" si="25"/>
        <v>840324.10999999952</v>
      </c>
      <c r="I251" s="188">
        <f t="shared" si="26"/>
        <v>13022490693.816025</v>
      </c>
    </row>
    <row r="252" spans="1:9" s="232" customFormat="1" ht="15" customHeight="1" x14ac:dyDescent="0.2">
      <c r="A252" s="231">
        <v>45127</v>
      </c>
      <c r="B252" s="2"/>
      <c r="C252" s="232" t="s">
        <v>347</v>
      </c>
      <c r="D252" s="16"/>
      <c r="E252" s="188"/>
      <c r="F252" s="233">
        <v>277137.71000000002</v>
      </c>
      <c r="G252" s="188">
        <v>4155402823.7399998</v>
      </c>
      <c r="H252" s="16">
        <f t="shared" ref="H252:H254" si="27">+H251+D252-F252</f>
        <v>563186.39999999944</v>
      </c>
      <c r="I252" s="188">
        <f t="shared" ref="I252:I254" si="28">+I251+E252-G252</f>
        <v>8867087870.076025</v>
      </c>
    </row>
    <row r="253" spans="1:9" s="232" customFormat="1" ht="15" customHeight="1" x14ac:dyDescent="0.2">
      <c r="A253" s="231">
        <v>45127</v>
      </c>
      <c r="B253" s="2"/>
      <c r="C253" s="232" t="s">
        <v>17</v>
      </c>
      <c r="D253" s="16"/>
      <c r="E253" s="188"/>
      <c r="F253" s="16">
        <v>35</v>
      </c>
      <c r="G253" s="188">
        <v>524790</v>
      </c>
      <c r="H253" s="16">
        <f>+H252+D253-F253</f>
        <v>563151.39999999944</v>
      </c>
      <c r="I253" s="188">
        <f>+I252+E253-G253</f>
        <v>8866563080.076025</v>
      </c>
    </row>
    <row r="254" spans="1:9" s="232" customFormat="1" ht="15" customHeight="1" x14ac:dyDescent="0.2">
      <c r="A254" s="231">
        <v>45132</v>
      </c>
      <c r="B254" s="231"/>
      <c r="C254" s="232" t="s">
        <v>328</v>
      </c>
      <c r="D254" s="16"/>
      <c r="E254" s="188"/>
      <c r="F254" s="16">
        <v>68860</v>
      </c>
      <c r="G254" s="188">
        <v>1034828080</v>
      </c>
      <c r="H254" s="16">
        <f t="shared" si="27"/>
        <v>494291.39999999944</v>
      </c>
      <c r="I254" s="188">
        <f t="shared" si="28"/>
        <v>7831735000.076025</v>
      </c>
    </row>
    <row r="255" spans="1:9" s="232" customFormat="1" ht="15" customHeight="1" x14ac:dyDescent="0.2">
      <c r="A255" s="231">
        <v>45132</v>
      </c>
      <c r="B255" s="231"/>
      <c r="C255" s="232" t="s">
        <v>17</v>
      </c>
      <c r="D255" s="16"/>
      <c r="E255" s="188"/>
      <c r="F255" s="16">
        <v>30</v>
      </c>
      <c r="G255" s="188">
        <v>450840</v>
      </c>
      <c r="H255" s="16">
        <f t="shared" si="23"/>
        <v>494261.39999999944</v>
      </c>
      <c r="I255" s="188">
        <f t="shared" si="24"/>
        <v>7831284160.076025</v>
      </c>
    </row>
    <row r="256" spans="1:9" s="232" customFormat="1" ht="15" customHeight="1" x14ac:dyDescent="0.2">
      <c r="A256" s="231">
        <v>45133</v>
      </c>
      <c r="B256" s="231"/>
      <c r="C256" s="232" t="s">
        <v>321</v>
      </c>
      <c r="D256" s="16"/>
      <c r="E256" s="188"/>
      <c r="F256" s="16">
        <v>98088.14</v>
      </c>
      <c r="G256" s="188">
        <v>1472008716.98</v>
      </c>
      <c r="H256" s="16">
        <f t="shared" si="23"/>
        <v>396173.25999999943</v>
      </c>
      <c r="I256" s="188">
        <f t="shared" si="24"/>
        <v>6359275443.0960255</v>
      </c>
    </row>
    <row r="257" spans="1:9" s="232" customFormat="1" ht="15" customHeight="1" x14ac:dyDescent="0.2">
      <c r="A257" s="231">
        <v>45133</v>
      </c>
      <c r="B257" s="231"/>
      <c r="C257" s="232" t="s">
        <v>17</v>
      </c>
      <c r="D257" s="16"/>
      <c r="E257" s="188"/>
      <c r="F257" s="16">
        <v>30</v>
      </c>
      <c r="G257" s="188">
        <v>450210</v>
      </c>
      <c r="H257" s="16">
        <f t="shared" si="23"/>
        <v>396143.25999999943</v>
      </c>
      <c r="I257" s="188">
        <f t="shared" si="24"/>
        <v>6358825233.0960255</v>
      </c>
    </row>
    <row r="258" spans="1:9" s="232" customFormat="1" ht="15" customHeight="1" x14ac:dyDescent="0.2">
      <c r="A258" s="231">
        <v>45133</v>
      </c>
      <c r="C258" s="232" t="s">
        <v>176</v>
      </c>
      <c r="D258" s="16"/>
      <c r="E258" s="188"/>
      <c r="F258" s="16">
        <v>26000</v>
      </c>
      <c r="G258" s="188">
        <v>388336000</v>
      </c>
      <c r="H258" s="16">
        <f t="shared" si="23"/>
        <v>370143.25999999943</v>
      </c>
      <c r="I258" s="188">
        <f t="shared" si="24"/>
        <v>5970489233.0960255</v>
      </c>
    </row>
    <row r="259" spans="1:9" s="232" customFormat="1" ht="15" customHeight="1" x14ac:dyDescent="0.2">
      <c r="A259" s="231">
        <v>45134</v>
      </c>
      <c r="B259" s="231"/>
      <c r="C259" s="232" t="s">
        <v>329</v>
      </c>
      <c r="D259" s="16"/>
      <c r="E259" s="188"/>
      <c r="F259" s="16">
        <v>46191.86</v>
      </c>
      <c r="G259" s="188">
        <v>694356039.51999998</v>
      </c>
      <c r="H259" s="16">
        <f t="shared" si="23"/>
        <v>323951.39999999944</v>
      </c>
      <c r="I259" s="188">
        <f t="shared" si="24"/>
        <v>5276133193.576025</v>
      </c>
    </row>
    <row r="260" spans="1:9" s="232" customFormat="1" ht="15" customHeight="1" x14ac:dyDescent="0.2">
      <c r="A260" s="231">
        <v>45134</v>
      </c>
      <c r="B260" s="231"/>
      <c r="C260" s="232" t="s">
        <v>17</v>
      </c>
      <c r="D260" s="16"/>
      <c r="E260" s="188"/>
      <c r="F260" s="16">
        <v>17</v>
      </c>
      <c r="G260" s="188">
        <v>255544</v>
      </c>
      <c r="H260" s="16">
        <f t="shared" si="23"/>
        <v>323934.39999999944</v>
      </c>
      <c r="I260" s="188">
        <f t="shared" si="24"/>
        <v>5275877649.576025</v>
      </c>
    </row>
    <row r="261" spans="1:9" s="232" customFormat="1" ht="15" customHeight="1" x14ac:dyDescent="0.2">
      <c r="A261" s="231">
        <v>45134</v>
      </c>
      <c r="B261" s="231"/>
      <c r="C261" s="232" t="s">
        <v>322</v>
      </c>
      <c r="D261" s="16"/>
      <c r="E261" s="188"/>
      <c r="F261" s="16">
        <v>155588.82</v>
      </c>
      <c r="G261" s="188">
        <v>2338811142.2399998</v>
      </c>
      <c r="H261" s="16">
        <f t="shared" si="23"/>
        <v>168345.57999999943</v>
      </c>
      <c r="I261" s="188">
        <f t="shared" si="24"/>
        <v>2937066507.3360252</v>
      </c>
    </row>
    <row r="262" spans="1:9" s="232" customFormat="1" ht="15" customHeight="1" x14ac:dyDescent="0.2">
      <c r="A262" s="231">
        <v>45134</v>
      </c>
      <c r="B262" s="231"/>
      <c r="C262" s="232" t="s">
        <v>17</v>
      </c>
      <c r="D262" s="16"/>
      <c r="E262" s="188"/>
      <c r="F262" s="16">
        <v>30</v>
      </c>
      <c r="G262" s="188">
        <v>450960</v>
      </c>
      <c r="H262" s="16">
        <f t="shared" si="23"/>
        <v>168315.57999999943</v>
      </c>
      <c r="I262" s="188">
        <f t="shared" si="24"/>
        <v>2936615547.3360252</v>
      </c>
    </row>
    <row r="263" spans="1:9" s="232" customFormat="1" ht="15" customHeight="1" x14ac:dyDescent="0.2">
      <c r="A263" s="231">
        <v>45134</v>
      </c>
      <c r="C263" s="232" t="s">
        <v>176</v>
      </c>
      <c r="D263" s="16"/>
      <c r="E263" s="188"/>
      <c r="F263" s="16">
        <v>10000</v>
      </c>
      <c r="G263" s="188">
        <v>149360000</v>
      </c>
      <c r="H263" s="16">
        <f t="shared" si="23"/>
        <v>158315.57999999943</v>
      </c>
      <c r="I263" s="188">
        <f t="shared" si="24"/>
        <v>2787255547.3360252</v>
      </c>
    </row>
    <row r="264" spans="1:9" s="232" customFormat="1" ht="15" customHeight="1" x14ac:dyDescent="0.2">
      <c r="A264" s="231">
        <v>45134</v>
      </c>
      <c r="C264" s="232" t="s">
        <v>176</v>
      </c>
      <c r="D264" s="16"/>
      <c r="E264" s="188"/>
      <c r="F264" s="16">
        <v>20000</v>
      </c>
      <c r="G264" s="188">
        <v>301240000</v>
      </c>
      <c r="H264" s="16">
        <f t="shared" si="23"/>
        <v>138315.57999999943</v>
      </c>
      <c r="I264" s="188">
        <f t="shared" si="24"/>
        <v>2486015547.3360252</v>
      </c>
    </row>
    <row r="265" spans="1:9" s="232" customFormat="1" ht="15" customHeight="1" x14ac:dyDescent="0.2">
      <c r="A265" s="231">
        <v>45135</v>
      </c>
      <c r="C265" s="232" t="s">
        <v>176</v>
      </c>
      <c r="D265" s="16"/>
      <c r="E265" s="188"/>
      <c r="F265" s="16">
        <v>20000</v>
      </c>
      <c r="G265" s="188">
        <v>301240000</v>
      </c>
      <c r="H265" s="16">
        <f t="shared" si="23"/>
        <v>118315.57999999943</v>
      </c>
      <c r="I265" s="188">
        <f t="shared" si="24"/>
        <v>2184775547.3360252</v>
      </c>
    </row>
    <row r="266" spans="1:9" s="232" customFormat="1" ht="15" customHeight="1" x14ac:dyDescent="0.2">
      <c r="A266" s="231">
        <v>45135</v>
      </c>
      <c r="C266" s="232" t="s">
        <v>176</v>
      </c>
      <c r="D266" s="16"/>
      <c r="E266" s="188"/>
      <c r="F266" s="16">
        <v>20000</v>
      </c>
      <c r="G266" s="188">
        <v>301240000</v>
      </c>
      <c r="H266" s="16">
        <f t="shared" si="23"/>
        <v>98315.579999999434</v>
      </c>
      <c r="I266" s="188">
        <f t="shared" si="24"/>
        <v>1883535547.3360252</v>
      </c>
    </row>
    <row r="267" spans="1:9" s="232" customFormat="1" ht="15" customHeight="1" x14ac:dyDescent="0.2">
      <c r="A267" s="231">
        <v>45138</v>
      </c>
      <c r="B267" s="1"/>
      <c r="C267" s="232" t="s">
        <v>18</v>
      </c>
      <c r="D267" s="16"/>
      <c r="E267" s="188"/>
      <c r="F267" s="16"/>
      <c r="G267" s="188">
        <f>23071226.77+16282167.81+50000+1722250</f>
        <v>41125644.579999998</v>
      </c>
      <c r="H267" s="16">
        <f t="shared" ref="H267" si="29">+H266+D267-F267</f>
        <v>98315.579999999434</v>
      </c>
      <c r="I267" s="188">
        <f t="shared" ref="I267" si="30">+I266+E267-G267</f>
        <v>1842409902.7560253</v>
      </c>
    </row>
    <row r="268" spans="1:9" ht="15" customHeight="1" x14ac:dyDescent="0.2">
      <c r="A268" s="1"/>
      <c r="B268" s="1"/>
      <c r="E268" s="32" t="s">
        <v>334</v>
      </c>
      <c r="F268" s="1"/>
      <c r="G268" s="1"/>
    </row>
    <row r="269" spans="1:9" ht="15" customHeight="1" x14ac:dyDescent="0.2">
      <c r="A269" s="1"/>
      <c r="B269" s="1"/>
      <c r="F269" s="1"/>
      <c r="G269" s="1"/>
      <c r="H269" s="3">
        <f>+H267+UM!H371</f>
        <v>-1040781.0800000001</v>
      </c>
      <c r="I269" s="4">
        <f>+I267+UM!I371</f>
        <v>-15360100950.519979</v>
      </c>
    </row>
    <row r="270" spans="1:9" ht="15" customHeight="1" x14ac:dyDescent="0.2">
      <c r="A270" s="1"/>
      <c r="B270" s="1"/>
      <c r="F270" s="1"/>
      <c r="G270" s="1"/>
      <c r="H270" s="3">
        <f>RINCIAN!J775</f>
        <v>-321737.65999999997</v>
      </c>
      <c r="I270" s="4">
        <f>RINCIAN!K775</f>
        <v>-4568994559.3299999</v>
      </c>
    </row>
    <row r="271" spans="1:9" ht="15" customHeight="1" x14ac:dyDescent="0.2">
      <c r="A271" s="1"/>
      <c r="B271" s="1"/>
      <c r="F271" s="1"/>
      <c r="G271" s="1"/>
      <c r="H271" s="3">
        <f>+H269-H270</f>
        <v>-719043.42000000016</v>
      </c>
      <c r="I271" s="4">
        <f>+I269-I270</f>
        <v>-10791106391.18998</v>
      </c>
    </row>
    <row r="272" spans="1:9" ht="15" customHeight="1" x14ac:dyDescent="0.2">
      <c r="A272" s="1"/>
      <c r="B272" s="1"/>
      <c r="G272" s="1"/>
    </row>
    <row r="273" spans="1:9" s="232" customFormat="1" ht="15" customHeight="1" x14ac:dyDescent="0.2">
      <c r="A273" s="231">
        <v>45141</v>
      </c>
      <c r="C273" s="232" t="s">
        <v>40</v>
      </c>
      <c r="D273" s="16">
        <v>185335.76</v>
      </c>
      <c r="E273" s="188">
        <v>2785781808.5599999</v>
      </c>
      <c r="F273" s="16"/>
      <c r="G273" s="188"/>
      <c r="H273" s="16">
        <f>+H267+D273-F273</f>
        <v>283651.33999999944</v>
      </c>
      <c r="I273" s="188">
        <f>+I267+E273-G273</f>
        <v>4628191711.3160248</v>
      </c>
    </row>
    <row r="274" spans="1:9" s="232" customFormat="1" ht="15" customHeight="1" x14ac:dyDescent="0.2">
      <c r="A274" s="231">
        <v>45145</v>
      </c>
      <c r="C274" s="232" t="s">
        <v>326</v>
      </c>
      <c r="D274" s="16">
        <v>65256.86</v>
      </c>
      <c r="E274" s="188">
        <v>980875862.65999997</v>
      </c>
      <c r="F274" s="16"/>
      <c r="G274" s="188"/>
      <c r="H274" s="16">
        <f>+H273+D274-F274</f>
        <v>348908.19999999943</v>
      </c>
      <c r="I274" s="188">
        <f>+I273+E274-G274</f>
        <v>5609067573.9760246</v>
      </c>
    </row>
    <row r="275" spans="1:9" s="232" customFormat="1" ht="15" customHeight="1" x14ac:dyDescent="0.2">
      <c r="A275" s="231">
        <v>45147</v>
      </c>
      <c r="C275" s="232" t="s">
        <v>348</v>
      </c>
      <c r="D275" s="16">
        <v>89645.58</v>
      </c>
      <c r="E275" s="188">
        <v>1358130537</v>
      </c>
      <c r="F275" s="16"/>
      <c r="H275" s="16">
        <f t="shared" ref="H275:H320" si="31">+H274+D275-F275</f>
        <v>438553.77999999945</v>
      </c>
      <c r="I275" s="188">
        <f t="shared" ref="I275:I320" si="32">+I274+E275-G275</f>
        <v>6967198110.9760246</v>
      </c>
    </row>
    <row r="276" spans="1:9" s="232" customFormat="1" ht="15" customHeight="1" x14ac:dyDescent="0.2">
      <c r="A276" s="231">
        <v>45154</v>
      </c>
      <c r="C276" s="232" t="s">
        <v>196</v>
      </c>
      <c r="D276" s="16">
        <v>74276.009999999995</v>
      </c>
      <c r="E276" s="188">
        <v>1129730684.5</v>
      </c>
      <c r="F276" s="16"/>
      <c r="G276" s="16"/>
      <c r="H276" s="16">
        <f t="shared" si="31"/>
        <v>512829.78999999946</v>
      </c>
      <c r="I276" s="188">
        <f t="shared" si="32"/>
        <v>8096928795.4760246</v>
      </c>
    </row>
    <row r="277" spans="1:9" s="232" customFormat="1" ht="15" customHeight="1" x14ac:dyDescent="0.2">
      <c r="A277" s="231">
        <v>45161</v>
      </c>
      <c r="B277" s="231"/>
      <c r="C277" s="232" t="s">
        <v>40</v>
      </c>
      <c r="D277" s="16">
        <v>182638.07</v>
      </c>
      <c r="E277" s="188">
        <v>2798380508.54</v>
      </c>
      <c r="F277" s="16"/>
      <c r="G277" s="188"/>
      <c r="H277" s="16">
        <f t="shared" si="31"/>
        <v>695467.8599999994</v>
      </c>
      <c r="I277" s="188">
        <f t="shared" si="32"/>
        <v>10895309304.016026</v>
      </c>
    </row>
    <row r="278" spans="1:9" s="232" customFormat="1" ht="15" customHeight="1" x14ac:dyDescent="0.2">
      <c r="A278" s="231">
        <v>45161</v>
      </c>
      <c r="B278" s="231"/>
      <c r="C278" s="232" t="s">
        <v>40</v>
      </c>
      <c r="D278" s="16">
        <v>125300.77</v>
      </c>
      <c r="E278" s="188">
        <v>1919858397.9400001</v>
      </c>
      <c r="F278" s="16"/>
      <c r="G278" s="188"/>
      <c r="H278" s="16">
        <f t="shared" si="31"/>
        <v>820768.62999999942</v>
      </c>
      <c r="I278" s="188">
        <f t="shared" si="32"/>
        <v>12815167701.956026</v>
      </c>
    </row>
    <row r="279" spans="1:9" s="232" customFormat="1" ht="15" customHeight="1" x14ac:dyDescent="0.2">
      <c r="A279" s="231">
        <v>45161</v>
      </c>
      <c r="B279" s="231"/>
      <c r="C279" s="232" t="s">
        <v>277</v>
      </c>
      <c r="D279" s="16">
        <v>68206.41</v>
      </c>
      <c r="E279" s="188">
        <v>1045058614.02</v>
      </c>
      <c r="F279" s="16"/>
      <c r="G279" s="188"/>
      <c r="H279" s="16">
        <f t="shared" si="31"/>
        <v>888975.03999999946</v>
      </c>
      <c r="I279" s="188">
        <f t="shared" si="32"/>
        <v>13860226315.976027</v>
      </c>
    </row>
    <row r="280" spans="1:9" s="232" customFormat="1" ht="15" customHeight="1" x14ac:dyDescent="0.2">
      <c r="A280" s="231">
        <v>45161</v>
      </c>
      <c r="B280" s="2"/>
      <c r="C280" s="232" t="s">
        <v>277</v>
      </c>
      <c r="D280" s="16">
        <v>70341.55</v>
      </c>
      <c r="E280" s="188">
        <v>1077773229.0999999</v>
      </c>
      <c r="F280" s="16"/>
      <c r="G280" s="188"/>
      <c r="H280" s="16">
        <f t="shared" si="31"/>
        <v>959316.5899999995</v>
      </c>
      <c r="I280" s="188">
        <f t="shared" si="32"/>
        <v>14937999545.076027</v>
      </c>
    </row>
    <row r="281" spans="1:9" s="232" customFormat="1" ht="15" customHeight="1" x14ac:dyDescent="0.2">
      <c r="A281" s="231">
        <v>45167</v>
      </c>
      <c r="B281" s="231"/>
      <c r="C281" s="232" t="s">
        <v>40</v>
      </c>
      <c r="D281" s="16">
        <v>124183.2</v>
      </c>
      <c r="E281" s="188">
        <v>1902734990.4000001</v>
      </c>
      <c r="F281" s="16"/>
      <c r="G281" s="188"/>
      <c r="H281" s="16">
        <f t="shared" si="31"/>
        <v>1083499.7899999996</v>
      </c>
      <c r="I281" s="188">
        <f t="shared" si="32"/>
        <v>16840734535.476027</v>
      </c>
    </row>
    <row r="282" spans="1:9" s="232" customFormat="1" ht="15" customHeight="1" x14ac:dyDescent="0.2">
      <c r="A282" s="231">
        <v>45168</v>
      </c>
      <c r="B282" s="231"/>
      <c r="C282" s="232" t="s">
        <v>40</v>
      </c>
      <c r="D282" s="16">
        <v>184743.92</v>
      </c>
      <c r="E282" s="188">
        <v>2827505695.5999999</v>
      </c>
      <c r="F282" s="16"/>
      <c r="G282" s="188"/>
      <c r="H282" s="16">
        <f t="shared" si="31"/>
        <v>1268243.7099999995</v>
      </c>
      <c r="I282" s="188">
        <f t="shared" si="32"/>
        <v>19668240231.076027</v>
      </c>
    </row>
    <row r="283" spans="1:9" s="232" customFormat="1" ht="15" customHeight="1" x14ac:dyDescent="0.2">
      <c r="A283" s="231">
        <v>45168</v>
      </c>
      <c r="B283" s="231"/>
      <c r="C283" s="232" t="s">
        <v>40</v>
      </c>
      <c r="D283" s="16">
        <v>183793.06</v>
      </c>
      <c r="E283" s="188">
        <v>2812952783.3000002</v>
      </c>
      <c r="F283" s="16"/>
      <c r="G283" s="188"/>
      <c r="H283" s="16">
        <f t="shared" si="31"/>
        <v>1452036.7699999996</v>
      </c>
      <c r="I283" s="188">
        <f t="shared" si="32"/>
        <v>22481193014.376026</v>
      </c>
    </row>
    <row r="284" spans="1:9" s="232" customFormat="1" ht="15" customHeight="1" x14ac:dyDescent="0.2">
      <c r="A284" s="231">
        <v>45139</v>
      </c>
      <c r="B284" s="231"/>
      <c r="C284" s="232" t="s">
        <v>324</v>
      </c>
      <c r="D284" s="16"/>
      <c r="E284" s="188"/>
      <c r="F284" s="16">
        <v>103981.78</v>
      </c>
      <c r="G284" s="188">
        <v>1569293023.76</v>
      </c>
      <c r="H284" s="16">
        <f t="shared" si="31"/>
        <v>1348054.9899999995</v>
      </c>
      <c r="I284" s="188">
        <f t="shared" si="32"/>
        <v>20911899990.616028</v>
      </c>
    </row>
    <row r="285" spans="1:9" s="232" customFormat="1" ht="15" customHeight="1" x14ac:dyDescent="0.2">
      <c r="A285" s="231">
        <v>45139</v>
      </c>
      <c r="B285" s="231"/>
      <c r="C285" s="232" t="s">
        <v>17</v>
      </c>
      <c r="D285" s="16"/>
      <c r="E285" s="188"/>
      <c r="F285" s="16">
        <v>30</v>
      </c>
      <c r="G285" s="188">
        <v>452760</v>
      </c>
      <c r="H285" s="16">
        <f t="shared" si="31"/>
        <v>1348024.9899999995</v>
      </c>
      <c r="I285" s="188">
        <f t="shared" si="32"/>
        <v>20911447230.616028</v>
      </c>
    </row>
    <row r="286" spans="1:9" s="232" customFormat="1" ht="15" customHeight="1" x14ac:dyDescent="0.2">
      <c r="A286" s="231">
        <v>45140</v>
      </c>
      <c r="B286" s="231"/>
      <c r="C286" s="232" t="s">
        <v>325</v>
      </c>
      <c r="D286" s="16"/>
      <c r="E286" s="188"/>
      <c r="F286" s="16">
        <v>102343.47</v>
      </c>
      <c r="G286" s="188">
        <v>1547126235.99</v>
      </c>
      <c r="H286" s="16">
        <f t="shared" si="31"/>
        <v>1245681.5199999996</v>
      </c>
      <c r="I286" s="188">
        <f t="shared" si="32"/>
        <v>19364320994.626026</v>
      </c>
    </row>
    <row r="287" spans="1:9" s="232" customFormat="1" ht="15" customHeight="1" x14ac:dyDescent="0.2">
      <c r="A287" s="231">
        <v>45140</v>
      </c>
      <c r="B287" s="231"/>
      <c r="C287" s="232" t="s">
        <v>17</v>
      </c>
      <c r="D287" s="16"/>
      <c r="E287" s="188"/>
      <c r="F287" s="16">
        <v>30</v>
      </c>
      <c r="G287" s="188">
        <v>453510</v>
      </c>
      <c r="H287" s="16">
        <f t="shared" si="31"/>
        <v>1245651.5199999996</v>
      </c>
      <c r="I287" s="188">
        <f t="shared" si="32"/>
        <v>19363867484.626026</v>
      </c>
    </row>
    <row r="288" spans="1:9" s="232" customFormat="1" ht="15" customHeight="1" x14ac:dyDescent="0.2">
      <c r="A288" s="231">
        <v>45140</v>
      </c>
      <c r="B288" s="231"/>
      <c r="C288" s="232" t="s">
        <v>349</v>
      </c>
      <c r="D288" s="16"/>
      <c r="E288" s="188"/>
      <c r="F288" s="16">
        <v>76610.58</v>
      </c>
      <c r="G288" s="188">
        <v>1158122137.8599999</v>
      </c>
      <c r="H288" s="16">
        <f t="shared" si="31"/>
        <v>1169040.9399999995</v>
      </c>
      <c r="I288" s="188">
        <f t="shared" si="32"/>
        <v>18205745346.766026</v>
      </c>
    </row>
    <row r="289" spans="1:9" s="232" customFormat="1" ht="15" customHeight="1" x14ac:dyDescent="0.2">
      <c r="A289" s="231">
        <v>45140</v>
      </c>
      <c r="B289" s="231"/>
      <c r="C289" s="232" t="s">
        <v>17</v>
      </c>
      <c r="D289" s="16"/>
      <c r="E289" s="188"/>
      <c r="F289" s="16">
        <v>35</v>
      </c>
      <c r="G289" s="188">
        <v>529095</v>
      </c>
      <c r="H289" s="16">
        <f t="shared" si="31"/>
        <v>1169005.9399999995</v>
      </c>
      <c r="I289" s="188">
        <f t="shared" si="32"/>
        <v>18205216251.766026</v>
      </c>
    </row>
    <row r="290" spans="1:9" s="232" customFormat="1" ht="15" customHeight="1" x14ac:dyDescent="0.2">
      <c r="A290" s="231">
        <v>45140</v>
      </c>
      <c r="B290" s="231"/>
      <c r="C290" s="232" t="s">
        <v>255</v>
      </c>
      <c r="D290" s="16"/>
      <c r="E290" s="188"/>
      <c r="F290" s="159">
        <v>3000</v>
      </c>
      <c r="G290" s="235">
        <v>46122000</v>
      </c>
      <c r="H290" s="16">
        <f t="shared" si="31"/>
        <v>1166005.9399999995</v>
      </c>
      <c r="I290" s="188">
        <f t="shared" si="32"/>
        <v>18159094251.766026</v>
      </c>
    </row>
    <row r="291" spans="1:9" s="232" customFormat="1" ht="15" customHeight="1" x14ac:dyDescent="0.2">
      <c r="A291" s="231">
        <v>45140</v>
      </c>
      <c r="B291" s="231"/>
      <c r="C291" s="232" t="s">
        <v>255</v>
      </c>
      <c r="D291" s="16"/>
      <c r="E291" s="188"/>
      <c r="F291" s="159">
        <v>10000</v>
      </c>
      <c r="G291" s="235">
        <v>153740000</v>
      </c>
      <c r="H291" s="16">
        <f t="shared" si="31"/>
        <v>1156005.9399999995</v>
      </c>
      <c r="I291" s="188">
        <f t="shared" si="32"/>
        <v>18005354251.766026</v>
      </c>
    </row>
    <row r="292" spans="1:9" s="232" customFormat="1" ht="15" customHeight="1" x14ac:dyDescent="0.2">
      <c r="A292" s="231">
        <v>45145</v>
      </c>
      <c r="B292" s="231"/>
      <c r="C292" s="232" t="s">
        <v>350</v>
      </c>
      <c r="D292" s="16"/>
      <c r="E292" s="188"/>
      <c r="F292" s="16">
        <v>165305.76</v>
      </c>
      <c r="G292" s="188">
        <v>2507357767.6799998</v>
      </c>
      <c r="H292" s="16">
        <f t="shared" si="31"/>
        <v>990700.17999999947</v>
      </c>
      <c r="I292" s="188">
        <f t="shared" si="32"/>
        <v>15497996484.086025</v>
      </c>
    </row>
    <row r="293" spans="1:9" s="232" customFormat="1" ht="15" customHeight="1" x14ac:dyDescent="0.2">
      <c r="A293" s="231">
        <v>45145</v>
      </c>
      <c r="B293" s="231"/>
      <c r="C293" s="232" t="s">
        <v>17</v>
      </c>
      <c r="D293" s="16"/>
      <c r="E293" s="188"/>
      <c r="F293" s="16">
        <v>30</v>
      </c>
      <c r="G293" s="188">
        <v>455040</v>
      </c>
      <c r="H293" s="16">
        <f t="shared" si="31"/>
        <v>990670.17999999947</v>
      </c>
      <c r="I293" s="188">
        <f t="shared" si="32"/>
        <v>15497541444.086025</v>
      </c>
    </row>
    <row r="294" spans="1:9" s="232" customFormat="1" ht="15" customHeight="1" x14ac:dyDescent="0.2">
      <c r="A294" s="231">
        <v>45145</v>
      </c>
      <c r="C294" s="232" t="s">
        <v>255</v>
      </c>
      <c r="D294" s="16"/>
      <c r="E294" s="188"/>
      <c r="F294" s="16">
        <v>20000</v>
      </c>
      <c r="G294" s="188">
        <v>301240000</v>
      </c>
      <c r="H294" s="16">
        <f t="shared" si="31"/>
        <v>970670.17999999947</v>
      </c>
      <c r="I294" s="188">
        <f t="shared" si="32"/>
        <v>15196301444.086025</v>
      </c>
    </row>
    <row r="295" spans="1:9" s="232" customFormat="1" ht="15" customHeight="1" x14ac:dyDescent="0.2">
      <c r="A295" s="231">
        <v>45146</v>
      </c>
      <c r="B295" s="231"/>
      <c r="C295" s="232" t="s">
        <v>351</v>
      </c>
      <c r="D295" s="16"/>
      <c r="E295" s="188"/>
      <c r="F295" s="16">
        <f>773-90</f>
        <v>683</v>
      </c>
      <c r="G295" s="188">
        <f>11732594-1366020</f>
        <v>10366574</v>
      </c>
      <c r="H295" s="16">
        <f t="shared" si="31"/>
        <v>969987.17999999947</v>
      </c>
      <c r="I295" s="188">
        <f t="shared" si="32"/>
        <v>15185934870.086025</v>
      </c>
    </row>
    <row r="296" spans="1:9" s="232" customFormat="1" ht="15" customHeight="1" x14ac:dyDescent="0.2">
      <c r="A296" s="231">
        <v>45146</v>
      </c>
      <c r="B296" s="231"/>
      <c r="C296" s="232" t="s">
        <v>362</v>
      </c>
      <c r="D296" s="16"/>
      <c r="E296" s="188"/>
      <c r="F296" s="20">
        <v>90</v>
      </c>
      <c r="G296" s="188">
        <v>1366020</v>
      </c>
      <c r="H296" s="16">
        <f t="shared" si="31"/>
        <v>969897.17999999947</v>
      </c>
      <c r="I296" s="188">
        <f t="shared" si="32"/>
        <v>15184568850.086025</v>
      </c>
    </row>
    <row r="297" spans="1:9" s="232" customFormat="1" ht="15" customHeight="1" x14ac:dyDescent="0.2">
      <c r="A297" s="231">
        <v>45146</v>
      </c>
      <c r="B297" s="231"/>
      <c r="C297" s="232" t="s">
        <v>17</v>
      </c>
      <c r="D297" s="16"/>
      <c r="E297" s="188"/>
      <c r="F297" s="16">
        <v>17</v>
      </c>
      <c r="G297" s="188">
        <v>258026</v>
      </c>
      <c r="H297" s="16">
        <f t="shared" si="31"/>
        <v>969880.17999999947</v>
      </c>
      <c r="I297" s="188">
        <f t="shared" si="32"/>
        <v>15184310824.086025</v>
      </c>
    </row>
    <row r="298" spans="1:9" s="232" customFormat="1" ht="15" customHeight="1" x14ac:dyDescent="0.2">
      <c r="A298" s="231">
        <v>45146</v>
      </c>
      <c r="B298" s="231"/>
      <c r="C298" s="232" t="s">
        <v>255</v>
      </c>
      <c r="D298" s="16"/>
      <c r="E298" s="188"/>
      <c r="F298" s="160">
        <v>18348</v>
      </c>
      <c r="G298" s="242">
        <v>272908152</v>
      </c>
      <c r="H298" s="16">
        <f t="shared" si="31"/>
        <v>951532.17999999947</v>
      </c>
      <c r="I298" s="188">
        <f t="shared" si="32"/>
        <v>14911402672.086025</v>
      </c>
    </row>
    <row r="299" spans="1:9" s="232" customFormat="1" ht="15" customHeight="1" x14ac:dyDescent="0.2">
      <c r="A299" s="231">
        <v>45148</v>
      </c>
      <c r="B299" s="231"/>
      <c r="C299" s="232" t="s">
        <v>327</v>
      </c>
      <c r="D299" s="16"/>
      <c r="E299" s="188"/>
      <c r="F299" s="16">
        <v>50106.01</v>
      </c>
      <c r="G299" s="188">
        <v>761911988.05999994</v>
      </c>
      <c r="H299" s="16">
        <f t="shared" si="31"/>
        <v>901426.16999999946</v>
      </c>
      <c r="I299" s="188">
        <f t="shared" si="32"/>
        <v>14149490684.026026</v>
      </c>
    </row>
    <row r="300" spans="1:9" s="232" customFormat="1" ht="15" customHeight="1" x14ac:dyDescent="0.2">
      <c r="A300" s="231">
        <v>45148</v>
      </c>
      <c r="B300" s="231"/>
      <c r="C300" s="232" t="s">
        <v>17</v>
      </c>
      <c r="D300" s="16"/>
      <c r="E300" s="188"/>
      <c r="F300" s="16">
        <v>50</v>
      </c>
      <c r="G300" s="188">
        <v>760300</v>
      </c>
      <c r="H300" s="16">
        <f t="shared" si="31"/>
        <v>901376.16999999946</v>
      </c>
      <c r="I300" s="188">
        <f t="shared" si="32"/>
        <v>14148730384.026026</v>
      </c>
    </row>
    <row r="301" spans="1:9" s="232" customFormat="1" ht="15" customHeight="1" x14ac:dyDescent="0.2">
      <c r="A301" s="231">
        <v>45154</v>
      </c>
      <c r="C301" s="232" t="s">
        <v>255</v>
      </c>
      <c r="D301" s="16"/>
      <c r="E301" s="188"/>
      <c r="F301" s="20">
        <v>23070</v>
      </c>
      <c r="G301" s="188">
        <v>340443990</v>
      </c>
      <c r="H301" s="16">
        <f t="shared" si="31"/>
        <v>878306.16999999946</v>
      </c>
      <c r="I301" s="188">
        <f t="shared" si="32"/>
        <v>13808286394.026026</v>
      </c>
    </row>
    <row r="302" spans="1:9" s="232" customFormat="1" ht="15" customHeight="1" x14ac:dyDescent="0.2">
      <c r="A302" s="231">
        <v>45161</v>
      </c>
      <c r="B302" s="231"/>
      <c r="C302" s="232" t="s">
        <v>352</v>
      </c>
      <c r="D302" s="16"/>
      <c r="E302" s="188"/>
      <c r="F302" s="20">
        <v>53556.39</v>
      </c>
      <c r="G302" s="188">
        <v>820805233.13999999</v>
      </c>
      <c r="H302" s="16">
        <f t="shared" si="31"/>
        <v>824749.77999999945</v>
      </c>
      <c r="I302" s="188">
        <f t="shared" si="32"/>
        <v>12987481160.886026</v>
      </c>
    </row>
    <row r="303" spans="1:9" s="232" customFormat="1" ht="15" customHeight="1" x14ac:dyDescent="0.2">
      <c r="A303" s="231">
        <v>45161</v>
      </c>
      <c r="B303" s="231"/>
      <c r="C303" s="232" t="s">
        <v>17</v>
      </c>
      <c r="D303" s="16"/>
      <c r="E303" s="188"/>
      <c r="F303" s="20">
        <v>42</v>
      </c>
      <c r="G303" s="188">
        <v>643692</v>
      </c>
      <c r="H303" s="16">
        <f t="shared" si="31"/>
        <v>824707.77999999945</v>
      </c>
      <c r="I303" s="188">
        <f t="shared" si="32"/>
        <v>12986837468.886026</v>
      </c>
    </row>
    <row r="304" spans="1:9" s="232" customFormat="1" ht="15" customHeight="1" x14ac:dyDescent="0.2">
      <c r="A304" s="231">
        <v>45161</v>
      </c>
      <c r="B304" s="231"/>
      <c r="C304" s="232" t="s">
        <v>353</v>
      </c>
      <c r="D304" s="16"/>
      <c r="E304" s="188"/>
      <c r="F304" s="16">
        <v>53392.41</v>
      </c>
      <c r="G304" s="188">
        <v>818292075.65999997</v>
      </c>
      <c r="H304" s="16">
        <f t="shared" si="31"/>
        <v>771315.36999999941</v>
      </c>
      <c r="I304" s="188">
        <f t="shared" si="32"/>
        <v>12168545393.226027</v>
      </c>
    </row>
    <row r="305" spans="1:9" s="232" customFormat="1" ht="15" customHeight="1" x14ac:dyDescent="0.2">
      <c r="A305" s="231">
        <v>45161</v>
      </c>
      <c r="B305" s="231"/>
      <c r="C305" s="232" t="s">
        <v>17</v>
      </c>
      <c r="D305" s="16"/>
      <c r="E305" s="188"/>
      <c r="F305" s="16">
        <v>42</v>
      </c>
      <c r="G305" s="188">
        <v>643692</v>
      </c>
      <c r="H305" s="16">
        <f t="shared" si="31"/>
        <v>771273.36999999941</v>
      </c>
      <c r="I305" s="188">
        <f t="shared" si="32"/>
        <v>12167901701.226027</v>
      </c>
    </row>
    <row r="306" spans="1:9" s="232" customFormat="1" ht="15" customHeight="1" x14ac:dyDescent="0.2">
      <c r="A306" s="231">
        <v>45161</v>
      </c>
      <c r="B306" s="231"/>
      <c r="C306" s="232" t="s">
        <v>255</v>
      </c>
      <c r="D306" s="16"/>
      <c r="E306" s="188"/>
      <c r="F306" s="16">
        <v>14772</v>
      </c>
      <c r="G306" s="188">
        <v>227621748</v>
      </c>
      <c r="H306" s="16">
        <f t="shared" si="31"/>
        <v>756501.36999999941</v>
      </c>
      <c r="I306" s="188">
        <f t="shared" si="32"/>
        <v>11940279953.226027</v>
      </c>
    </row>
    <row r="307" spans="1:9" s="232" customFormat="1" ht="15" customHeight="1" x14ac:dyDescent="0.2">
      <c r="A307" s="231">
        <v>45161</v>
      </c>
      <c r="B307" s="1"/>
      <c r="C307" s="232" t="s">
        <v>255</v>
      </c>
      <c r="D307" s="160"/>
      <c r="E307" s="242"/>
      <c r="F307" s="149">
        <v>14772</v>
      </c>
      <c r="G307" s="241">
        <v>228862596</v>
      </c>
      <c r="H307" s="16">
        <f t="shared" si="31"/>
        <v>741729.36999999941</v>
      </c>
      <c r="I307" s="188">
        <f t="shared" si="32"/>
        <v>11711417357.226027</v>
      </c>
    </row>
    <row r="308" spans="1:9" s="232" customFormat="1" ht="15" customHeight="1" x14ac:dyDescent="0.2">
      <c r="A308" s="231">
        <v>45163</v>
      </c>
      <c r="B308" s="231"/>
      <c r="C308" s="232" t="s">
        <v>354</v>
      </c>
      <c r="D308" s="16"/>
      <c r="E308" s="188"/>
      <c r="F308" s="16">
        <v>103270.77</v>
      </c>
      <c r="G308" s="188">
        <v>1575189054.8099999</v>
      </c>
      <c r="H308" s="16">
        <f t="shared" si="31"/>
        <v>638458.59999999939</v>
      </c>
      <c r="I308" s="188">
        <f t="shared" si="32"/>
        <v>10136228302.416027</v>
      </c>
    </row>
    <row r="309" spans="1:9" s="232" customFormat="1" ht="15" customHeight="1" x14ac:dyDescent="0.2">
      <c r="A309" s="231">
        <v>45163</v>
      </c>
      <c r="B309" s="231"/>
      <c r="C309" s="232" t="s">
        <v>17</v>
      </c>
      <c r="D309" s="16"/>
      <c r="E309" s="188"/>
      <c r="F309" s="16">
        <v>30</v>
      </c>
      <c r="G309" s="188">
        <v>457590</v>
      </c>
      <c r="H309" s="16">
        <f t="shared" si="31"/>
        <v>638428.59999999939</v>
      </c>
      <c r="I309" s="188">
        <f t="shared" si="32"/>
        <v>10135770712.416027</v>
      </c>
    </row>
    <row r="310" spans="1:9" s="232" customFormat="1" ht="15" customHeight="1" x14ac:dyDescent="0.2">
      <c r="A310" s="231">
        <v>45163</v>
      </c>
      <c r="C310" s="232" t="s">
        <v>255</v>
      </c>
      <c r="D310" s="16"/>
      <c r="E310" s="188"/>
      <c r="F310" s="16">
        <v>10000</v>
      </c>
      <c r="G310" s="188">
        <v>150620000</v>
      </c>
      <c r="H310" s="16">
        <f t="shared" si="31"/>
        <v>628428.59999999939</v>
      </c>
      <c r="I310" s="188">
        <f t="shared" si="32"/>
        <v>9985150712.4160271</v>
      </c>
    </row>
    <row r="311" spans="1:9" s="232" customFormat="1" ht="15" customHeight="1" x14ac:dyDescent="0.2">
      <c r="A311" s="231">
        <v>45163</v>
      </c>
      <c r="B311" s="231"/>
      <c r="C311" s="232" t="s">
        <v>255</v>
      </c>
      <c r="D311" s="16"/>
      <c r="E311" s="188"/>
      <c r="F311" s="160">
        <v>12000</v>
      </c>
      <c r="G311" s="242">
        <v>180996000</v>
      </c>
      <c r="H311" s="16">
        <f t="shared" si="31"/>
        <v>616428.59999999939</v>
      </c>
      <c r="I311" s="188">
        <f t="shared" si="32"/>
        <v>9804154712.4160271</v>
      </c>
    </row>
    <row r="312" spans="1:9" s="232" customFormat="1" ht="15" customHeight="1" x14ac:dyDescent="0.2">
      <c r="A312" s="231">
        <v>45163</v>
      </c>
      <c r="B312" s="231"/>
      <c r="C312" s="232" t="s">
        <v>355</v>
      </c>
      <c r="D312" s="16"/>
      <c r="E312" s="188"/>
      <c r="F312" s="16">
        <v>158608.07</v>
      </c>
      <c r="G312" s="188">
        <v>2419248891.71</v>
      </c>
      <c r="H312" s="16">
        <f t="shared" si="31"/>
        <v>457820.52999999939</v>
      </c>
      <c r="I312" s="188">
        <f t="shared" si="32"/>
        <v>7384905820.706027</v>
      </c>
    </row>
    <row r="313" spans="1:9" s="232" customFormat="1" ht="15" customHeight="1" x14ac:dyDescent="0.2">
      <c r="A313" s="231">
        <v>45163</v>
      </c>
      <c r="B313" s="231"/>
      <c r="C313" s="232" t="s">
        <v>17</v>
      </c>
      <c r="D313" s="16"/>
      <c r="E313" s="188"/>
      <c r="F313" s="16">
        <v>30</v>
      </c>
      <c r="G313" s="188">
        <v>457590</v>
      </c>
      <c r="H313" s="16">
        <f t="shared" si="31"/>
        <v>457790.52999999939</v>
      </c>
      <c r="I313" s="188">
        <f t="shared" si="32"/>
        <v>7384448230.706027</v>
      </c>
    </row>
    <row r="314" spans="1:9" s="232" customFormat="1" ht="15" customHeight="1" x14ac:dyDescent="0.2">
      <c r="A314" s="231">
        <v>45163</v>
      </c>
      <c r="C314" s="232" t="s">
        <v>255</v>
      </c>
      <c r="D314" s="16"/>
      <c r="E314" s="188"/>
      <c r="F314" s="16">
        <v>12000</v>
      </c>
      <c r="G314" s="188">
        <v>180744000</v>
      </c>
      <c r="H314" s="16">
        <f t="shared" si="31"/>
        <v>445790.52999999939</v>
      </c>
      <c r="I314" s="188">
        <f t="shared" si="32"/>
        <v>7203704230.706027</v>
      </c>
    </row>
    <row r="315" spans="1:9" s="232" customFormat="1" ht="15" customHeight="1" x14ac:dyDescent="0.2">
      <c r="A315" s="231">
        <v>45163</v>
      </c>
      <c r="B315" s="231"/>
      <c r="C315" s="232" t="s">
        <v>255</v>
      </c>
      <c r="D315" s="16"/>
      <c r="E315" s="188"/>
      <c r="F315" s="160">
        <v>12000</v>
      </c>
      <c r="G315" s="242">
        <v>180996000</v>
      </c>
      <c r="H315" s="16">
        <f t="shared" si="31"/>
        <v>433790.52999999939</v>
      </c>
      <c r="I315" s="188">
        <f t="shared" si="32"/>
        <v>7022708230.706027</v>
      </c>
    </row>
    <row r="316" spans="1:9" s="232" customFormat="1" ht="15" customHeight="1" x14ac:dyDescent="0.2">
      <c r="A316" s="231">
        <v>45167</v>
      </c>
      <c r="C316" s="232" t="s">
        <v>255</v>
      </c>
      <c r="D316" s="16"/>
      <c r="E316" s="188"/>
      <c r="F316" s="16">
        <v>6000</v>
      </c>
      <c r="G316" s="188">
        <v>90372000</v>
      </c>
      <c r="H316" s="16">
        <f t="shared" si="31"/>
        <v>427790.52999999939</v>
      </c>
      <c r="I316" s="188">
        <f t="shared" si="32"/>
        <v>6932336230.706027</v>
      </c>
    </row>
    <row r="317" spans="1:9" s="232" customFormat="1" ht="15" customHeight="1" x14ac:dyDescent="0.2">
      <c r="A317" s="231">
        <v>45167</v>
      </c>
      <c r="B317" s="231"/>
      <c r="C317" s="232" t="s">
        <v>255</v>
      </c>
      <c r="D317" s="16"/>
      <c r="E317" s="188"/>
      <c r="F317" s="160">
        <v>10000</v>
      </c>
      <c r="G317" s="242">
        <v>150830000</v>
      </c>
      <c r="H317" s="16">
        <f t="shared" si="31"/>
        <v>417790.52999999939</v>
      </c>
      <c r="I317" s="188">
        <f t="shared" si="32"/>
        <v>6781506230.706027</v>
      </c>
    </row>
    <row r="318" spans="1:9" s="232" customFormat="1" ht="15" customHeight="1" x14ac:dyDescent="0.2">
      <c r="A318" s="231">
        <v>45168</v>
      </c>
      <c r="C318" s="232" t="s">
        <v>255</v>
      </c>
      <c r="D318" s="16"/>
      <c r="E318" s="188"/>
      <c r="F318" s="16">
        <v>10000</v>
      </c>
      <c r="G318" s="188">
        <v>150620000</v>
      </c>
      <c r="H318" s="16">
        <f t="shared" si="31"/>
        <v>407790.52999999939</v>
      </c>
      <c r="I318" s="188">
        <f t="shared" si="32"/>
        <v>6630886230.706027</v>
      </c>
    </row>
    <row r="319" spans="1:9" s="232" customFormat="1" ht="15" customHeight="1" x14ac:dyDescent="0.2">
      <c r="A319" s="231">
        <v>45168</v>
      </c>
      <c r="B319" s="231"/>
      <c r="C319" s="232" t="s">
        <v>255</v>
      </c>
      <c r="D319" s="16"/>
      <c r="E319" s="188"/>
      <c r="F319" s="160">
        <v>12000</v>
      </c>
      <c r="G319" s="242">
        <v>180996000</v>
      </c>
      <c r="H319" s="16">
        <f t="shared" si="31"/>
        <v>395790.52999999939</v>
      </c>
      <c r="I319" s="188">
        <f t="shared" si="32"/>
        <v>6449890230.706027</v>
      </c>
    </row>
    <row r="320" spans="1:9" s="232" customFormat="1" ht="15" customHeight="1" x14ac:dyDescent="0.2">
      <c r="A320" s="231">
        <v>45168</v>
      </c>
      <c r="B320" s="231"/>
      <c r="C320" s="232" t="s">
        <v>255</v>
      </c>
      <c r="D320" s="16"/>
      <c r="E320" s="188"/>
      <c r="F320" s="160">
        <v>30000</v>
      </c>
      <c r="G320" s="242">
        <v>452490000</v>
      </c>
      <c r="H320" s="16">
        <f t="shared" si="31"/>
        <v>365790.52999999939</v>
      </c>
      <c r="I320" s="188">
        <f t="shared" si="32"/>
        <v>5997400230.706027</v>
      </c>
    </row>
    <row r="321" spans="1:9" s="232" customFormat="1" ht="15" customHeight="1" x14ac:dyDescent="0.2">
      <c r="A321" s="231">
        <v>45169</v>
      </c>
      <c r="B321" s="2"/>
      <c r="C321" s="232" t="s">
        <v>18</v>
      </c>
      <c r="D321" s="16"/>
      <c r="E321" s="188"/>
      <c r="F321" s="16"/>
      <c r="G321" s="188">
        <f>21962780.84-22794853.5+10850756.44-4024913.64+2731527.14-382695.86</f>
        <v>8342601.419999999</v>
      </c>
      <c r="H321" s="237">
        <f t="shared" ref="H321" si="33">+H320+D321-F321</f>
        <v>365790.52999999939</v>
      </c>
      <c r="I321" s="238">
        <f t="shared" ref="I321" si="34">+I320+E321-G321</f>
        <v>5989057629.286027</v>
      </c>
    </row>
    <row r="323" spans="1:9" ht="15" customHeight="1" x14ac:dyDescent="0.2">
      <c r="H323" s="3">
        <f>+H321+UM!H392</f>
        <v>-573176.13000000012</v>
      </c>
      <c r="I323" s="4">
        <f>+I321+UM!I392</f>
        <v>-8197090473.9899778</v>
      </c>
    </row>
    <row r="324" spans="1:9" ht="15" customHeight="1" x14ac:dyDescent="0.2">
      <c r="H324" s="3">
        <f>RINCIAN!J775</f>
        <v>-321737.65999999997</v>
      </c>
      <c r="I324" s="4">
        <f>RINCIAN!K775</f>
        <v>-4568994559.3299999</v>
      </c>
    </row>
    <row r="325" spans="1:9" ht="15" customHeight="1" x14ac:dyDescent="0.2">
      <c r="H325" s="3">
        <f>H323-H324</f>
        <v>-251438.47000000015</v>
      </c>
      <c r="I325" s="3">
        <f>I323-I324</f>
        <v>-3628095914.6599779</v>
      </c>
    </row>
    <row r="328" spans="1:9" s="232" customFormat="1" ht="15" customHeight="1" x14ac:dyDescent="0.2">
      <c r="A328" s="231">
        <v>45175</v>
      </c>
      <c r="B328" s="231"/>
      <c r="C328" s="232" t="s">
        <v>277</v>
      </c>
      <c r="D328" s="20">
        <v>68370.39</v>
      </c>
      <c r="E328" s="188">
        <v>1043127040.23</v>
      </c>
      <c r="F328" s="16"/>
      <c r="G328" s="188"/>
      <c r="H328" s="16">
        <f>+H321+D328-F328</f>
        <v>434160.9199999994</v>
      </c>
      <c r="I328" s="188">
        <f>+I321+E328-G328</f>
        <v>7032184669.5160275</v>
      </c>
    </row>
    <row r="329" spans="1:9" s="232" customFormat="1" ht="15" customHeight="1" x14ac:dyDescent="0.2">
      <c r="A329" s="231">
        <v>45180</v>
      </c>
      <c r="B329" s="231"/>
      <c r="C329" s="232" t="s">
        <v>326</v>
      </c>
      <c r="D329" s="16">
        <v>63565.41</v>
      </c>
      <c r="E329" s="188">
        <v>969817460.37</v>
      </c>
      <c r="F329" s="16"/>
      <c r="G329" s="188"/>
      <c r="H329" s="16">
        <f>+H328+D329-F329</f>
        <v>497726.32999999938</v>
      </c>
      <c r="I329" s="188">
        <f>+I328+E329-G329</f>
        <v>8002002129.8860273</v>
      </c>
    </row>
    <row r="330" spans="1:9" s="232" customFormat="1" ht="15" customHeight="1" x14ac:dyDescent="0.2">
      <c r="A330" s="231">
        <v>45183</v>
      </c>
      <c r="B330" s="231"/>
      <c r="C330" s="232" t="s">
        <v>192</v>
      </c>
      <c r="D330" s="16">
        <v>67749.87</v>
      </c>
      <c r="E330" s="188">
        <v>1036437511.26</v>
      </c>
      <c r="F330" s="16"/>
      <c r="G330" s="188"/>
      <c r="H330" s="16">
        <f t="shared" ref="H330:H349" si="35">+H329+D330-F330</f>
        <v>565476.19999999937</v>
      </c>
      <c r="I330" s="188">
        <f t="shared" ref="I330:I349" si="36">+I329+E330-G330</f>
        <v>9038439641.1460266</v>
      </c>
    </row>
    <row r="331" spans="1:9" s="232" customFormat="1" ht="15" customHeight="1" x14ac:dyDescent="0.2">
      <c r="A331" s="231">
        <v>45190</v>
      </c>
      <c r="B331" s="231"/>
      <c r="C331" s="232" t="s">
        <v>381</v>
      </c>
      <c r="D331" s="16">
        <v>187862.76</v>
      </c>
      <c r="E331" s="188">
        <v>2885196268.0799999</v>
      </c>
      <c r="F331" s="16"/>
      <c r="G331" s="188"/>
      <c r="H331" s="16">
        <f t="shared" si="35"/>
        <v>753338.95999999938</v>
      </c>
      <c r="I331" s="188">
        <f t="shared" si="36"/>
        <v>11923635909.226027</v>
      </c>
    </row>
    <row r="332" spans="1:9" s="232" customFormat="1" ht="15" customHeight="1" x14ac:dyDescent="0.2">
      <c r="A332" s="231">
        <v>45191</v>
      </c>
      <c r="B332" s="231"/>
      <c r="C332" s="232" t="s">
        <v>381</v>
      </c>
      <c r="D332" s="16">
        <v>186867.86</v>
      </c>
      <c r="E332" s="188">
        <v>2869916593.8800001</v>
      </c>
      <c r="F332" s="16"/>
      <c r="G332" s="188"/>
      <c r="H332" s="16">
        <f t="shared" si="35"/>
        <v>940206.81999999937</v>
      </c>
      <c r="I332" s="188">
        <f t="shared" si="36"/>
        <v>14793552503.106026</v>
      </c>
    </row>
    <row r="333" spans="1:9" s="232" customFormat="1" ht="15" customHeight="1" x14ac:dyDescent="0.2">
      <c r="A333" s="231">
        <v>45195</v>
      </c>
      <c r="B333" s="2"/>
      <c r="C333" s="232" t="s">
        <v>16</v>
      </c>
      <c r="D333" s="233">
        <v>93659.15</v>
      </c>
      <c r="E333" s="188">
        <v>1438417225.7</v>
      </c>
      <c r="F333" s="16"/>
      <c r="G333" s="188"/>
      <c r="H333" s="16">
        <f t="shared" si="35"/>
        <v>1033865.9699999994</v>
      </c>
      <c r="I333" s="188">
        <f t="shared" si="36"/>
        <v>16231969728.806026</v>
      </c>
    </row>
    <row r="334" spans="1:9" s="232" customFormat="1" ht="15" customHeight="1" x14ac:dyDescent="0.2">
      <c r="A334" s="231">
        <v>45196</v>
      </c>
      <c r="B334" s="231"/>
      <c r="C334" s="232" t="s">
        <v>381</v>
      </c>
      <c r="D334" s="16">
        <v>181901.84</v>
      </c>
      <c r="E334" s="188">
        <v>2798741710.2399998</v>
      </c>
      <c r="F334" s="16"/>
      <c r="G334" s="188"/>
      <c r="H334" s="16">
        <f t="shared" si="35"/>
        <v>1215767.8099999994</v>
      </c>
      <c r="I334" s="188">
        <f t="shared" si="36"/>
        <v>19030711439.046028</v>
      </c>
    </row>
    <row r="335" spans="1:9" s="232" customFormat="1" ht="15" customHeight="1" x14ac:dyDescent="0.2">
      <c r="A335" s="231">
        <v>45174</v>
      </c>
      <c r="B335" s="231"/>
      <c r="C335" s="232" t="s">
        <v>379</v>
      </c>
      <c r="D335" s="16"/>
      <c r="E335" s="188"/>
      <c r="F335" s="16">
        <v>162713.92000000001</v>
      </c>
      <c r="G335" s="188">
        <v>2480899138.2399998</v>
      </c>
      <c r="H335" s="16">
        <f t="shared" si="35"/>
        <v>1053053.8899999994</v>
      </c>
      <c r="I335" s="188">
        <f t="shared" si="36"/>
        <v>16549812300.806028</v>
      </c>
    </row>
    <row r="336" spans="1:9" s="232" customFormat="1" ht="15" customHeight="1" x14ac:dyDescent="0.2">
      <c r="A336" s="231">
        <v>45174</v>
      </c>
      <c r="B336" s="231"/>
      <c r="C336" s="232" t="s">
        <v>17</v>
      </c>
      <c r="D336" s="16"/>
      <c r="E336" s="188"/>
      <c r="F336" s="16">
        <v>30</v>
      </c>
      <c r="G336" s="188">
        <v>457410</v>
      </c>
      <c r="H336" s="16">
        <f t="shared" si="35"/>
        <v>1053023.8899999994</v>
      </c>
      <c r="I336" s="188">
        <f t="shared" si="36"/>
        <v>16549354890.806028</v>
      </c>
    </row>
    <row r="337" spans="1:9" s="232" customFormat="1" ht="15" customHeight="1" x14ac:dyDescent="0.2">
      <c r="A337" s="231">
        <v>45174</v>
      </c>
      <c r="B337" s="231"/>
      <c r="C337" s="232" t="s">
        <v>377</v>
      </c>
      <c r="D337" s="16"/>
      <c r="E337" s="188"/>
      <c r="F337" s="16">
        <v>108153.2</v>
      </c>
      <c r="G337" s="188">
        <v>1649011840.4000001</v>
      </c>
      <c r="H337" s="16">
        <f t="shared" si="35"/>
        <v>944870.68999999948</v>
      </c>
      <c r="I337" s="188">
        <f t="shared" si="36"/>
        <v>14900343050.406029</v>
      </c>
    </row>
    <row r="338" spans="1:9" s="232" customFormat="1" ht="15" customHeight="1" x14ac:dyDescent="0.2">
      <c r="A338" s="231">
        <v>45174</v>
      </c>
      <c r="B338" s="231"/>
      <c r="C338" s="232" t="s">
        <v>17</v>
      </c>
      <c r="D338" s="16"/>
      <c r="E338" s="188"/>
      <c r="F338" s="16">
        <v>30</v>
      </c>
      <c r="G338" s="188">
        <v>457410</v>
      </c>
      <c r="H338" s="16">
        <f t="shared" si="35"/>
        <v>944840.68999999948</v>
      </c>
      <c r="I338" s="188">
        <f t="shared" si="36"/>
        <v>14899885640.406029</v>
      </c>
    </row>
    <row r="339" spans="1:9" s="232" customFormat="1" ht="15" customHeight="1" x14ac:dyDescent="0.2">
      <c r="A339" s="231">
        <v>45175</v>
      </c>
      <c r="B339" s="231"/>
      <c r="C339" s="232" t="s">
        <v>357</v>
      </c>
      <c r="D339" s="16"/>
      <c r="E339" s="188"/>
      <c r="F339" s="16">
        <v>153763.06</v>
      </c>
      <c r="G339" s="188">
        <v>2346424295.5999999</v>
      </c>
      <c r="H339" s="16">
        <f t="shared" si="35"/>
        <v>791077.62999999942</v>
      </c>
      <c r="I339" s="188">
        <f t="shared" si="36"/>
        <v>12553461344.806028</v>
      </c>
    </row>
    <row r="340" spans="1:9" s="232" customFormat="1" ht="15" customHeight="1" x14ac:dyDescent="0.2">
      <c r="A340" s="231">
        <v>45175</v>
      </c>
      <c r="B340" s="231"/>
      <c r="C340" s="232" t="s">
        <v>17</v>
      </c>
      <c r="D340" s="16"/>
      <c r="E340" s="188"/>
      <c r="F340" s="16">
        <v>30</v>
      </c>
      <c r="G340" s="188">
        <v>457800</v>
      </c>
      <c r="H340" s="16">
        <f t="shared" si="35"/>
        <v>791047.62999999942</v>
      </c>
      <c r="I340" s="188">
        <f t="shared" si="36"/>
        <v>12553003544.806028</v>
      </c>
    </row>
    <row r="341" spans="1:9" s="232" customFormat="1" ht="15" customHeight="1" x14ac:dyDescent="0.2">
      <c r="A341" s="231">
        <v>45176</v>
      </c>
      <c r="B341" s="2"/>
      <c r="C341" s="232" t="s">
        <v>374</v>
      </c>
      <c r="D341" s="16"/>
      <c r="E341" s="188"/>
      <c r="F341" s="244">
        <v>55527.55</v>
      </c>
      <c r="G341" s="188">
        <v>849960207.85000002</v>
      </c>
      <c r="H341" s="16">
        <f t="shared" si="35"/>
        <v>735520.07999999938</v>
      </c>
      <c r="I341" s="188">
        <f t="shared" si="36"/>
        <v>11703043336.956028</v>
      </c>
    </row>
    <row r="342" spans="1:9" s="232" customFormat="1" ht="15" customHeight="1" x14ac:dyDescent="0.2">
      <c r="A342" s="231">
        <v>45176</v>
      </c>
      <c r="B342" s="2"/>
      <c r="C342" s="232" t="s">
        <v>17</v>
      </c>
      <c r="D342" s="16"/>
      <c r="E342" s="188"/>
      <c r="F342" s="244">
        <v>42</v>
      </c>
      <c r="G342" s="188">
        <v>642894</v>
      </c>
      <c r="H342" s="16">
        <f t="shared" si="35"/>
        <v>735478.07999999938</v>
      </c>
      <c r="I342" s="188">
        <f t="shared" si="36"/>
        <v>11702400442.956028</v>
      </c>
    </row>
    <row r="343" spans="1:9" s="258" customFormat="1" ht="15" customHeight="1" x14ac:dyDescent="0.2">
      <c r="A343" s="257">
        <v>45176</v>
      </c>
      <c r="B343" s="2"/>
      <c r="C343" s="258" t="s">
        <v>398</v>
      </c>
      <c r="D343" s="161"/>
      <c r="E343" s="259"/>
      <c r="F343" s="260">
        <f>69829.42-67749.87</f>
        <v>2079.5500000000029</v>
      </c>
      <c r="G343" s="259">
        <f>1068878931.94-1037047260.09</f>
        <v>31831671.850000024</v>
      </c>
      <c r="H343" s="161">
        <f t="shared" si="35"/>
        <v>733398.52999999933</v>
      </c>
      <c r="I343" s="259">
        <f t="shared" si="36"/>
        <v>11670568771.106028</v>
      </c>
    </row>
    <row r="344" spans="1:9" s="232" customFormat="1" ht="15" customHeight="1" x14ac:dyDescent="0.2">
      <c r="A344" s="231">
        <v>45176</v>
      </c>
      <c r="B344" s="231"/>
      <c r="C344" s="232" t="s">
        <v>399</v>
      </c>
      <c r="D344" s="16"/>
      <c r="E344" s="188"/>
      <c r="F344" s="16">
        <v>67749.87</v>
      </c>
      <c r="G344" s="188">
        <v>1037047260.09</v>
      </c>
      <c r="H344" s="16">
        <f t="shared" si="35"/>
        <v>665648.65999999933</v>
      </c>
      <c r="I344" s="188">
        <f t="shared" si="36"/>
        <v>10633521511.016027</v>
      </c>
    </row>
    <row r="345" spans="1:9" s="258" customFormat="1" ht="15" customHeight="1" x14ac:dyDescent="0.2">
      <c r="A345" s="257">
        <v>45176</v>
      </c>
      <c r="B345" s="2"/>
      <c r="C345" s="258" t="s">
        <v>17</v>
      </c>
      <c r="D345" s="161"/>
      <c r="E345" s="259"/>
      <c r="F345" s="260">
        <v>5</v>
      </c>
      <c r="G345" s="259">
        <v>76535</v>
      </c>
      <c r="H345" s="161">
        <f t="shared" si="35"/>
        <v>665643.65999999933</v>
      </c>
      <c r="I345" s="259">
        <f t="shared" si="36"/>
        <v>10633444976.016027</v>
      </c>
    </row>
    <row r="346" spans="1:9" s="232" customFormat="1" ht="15" customHeight="1" x14ac:dyDescent="0.2">
      <c r="A346" s="231">
        <v>45175</v>
      </c>
      <c r="C346" s="232" t="s">
        <v>255</v>
      </c>
      <c r="D346" s="160"/>
      <c r="E346" s="242"/>
      <c r="F346" s="214">
        <v>14772</v>
      </c>
      <c r="G346" s="241">
        <v>230029584</v>
      </c>
      <c r="H346" s="16">
        <f t="shared" si="35"/>
        <v>650871.65999999933</v>
      </c>
      <c r="I346" s="188">
        <f t="shared" si="36"/>
        <v>10403415392.016027</v>
      </c>
    </row>
    <row r="347" spans="1:9" s="232" customFormat="1" ht="15" customHeight="1" x14ac:dyDescent="0.2">
      <c r="A347" s="231">
        <v>45176</v>
      </c>
      <c r="B347" s="231"/>
      <c r="C347" s="232" t="s">
        <v>386</v>
      </c>
      <c r="D347" s="160"/>
      <c r="E347" s="242"/>
      <c r="F347" s="160">
        <v>45110.41</v>
      </c>
      <c r="G347" s="242">
        <v>690505045.87</v>
      </c>
      <c r="H347" s="16">
        <f t="shared" si="35"/>
        <v>605761.2499999993</v>
      </c>
      <c r="I347" s="188">
        <f t="shared" si="36"/>
        <v>9712910346.1460266</v>
      </c>
    </row>
    <row r="348" spans="1:9" s="232" customFormat="1" ht="15" customHeight="1" x14ac:dyDescent="0.2">
      <c r="A348" s="231">
        <v>45176</v>
      </c>
      <c r="B348" s="231"/>
      <c r="C348" s="232" t="s">
        <v>17</v>
      </c>
      <c r="D348" s="16"/>
      <c r="E348" s="188"/>
      <c r="F348" s="16">
        <v>17</v>
      </c>
      <c r="G348" s="188">
        <v>260219</v>
      </c>
      <c r="H348" s="16">
        <f t="shared" si="35"/>
        <v>605744.2499999993</v>
      </c>
      <c r="I348" s="188">
        <f t="shared" si="36"/>
        <v>9712650127.1460266</v>
      </c>
    </row>
    <row r="349" spans="1:9" s="232" customFormat="1" ht="15" customHeight="1" x14ac:dyDescent="0.2">
      <c r="A349" s="231">
        <v>45176</v>
      </c>
      <c r="B349" s="231"/>
      <c r="C349" s="232" t="s">
        <v>255</v>
      </c>
      <c r="D349" s="16"/>
      <c r="E349" s="188"/>
      <c r="F349" s="160">
        <v>18348</v>
      </c>
      <c r="G349" s="242">
        <v>275458524</v>
      </c>
      <c r="H349" s="16">
        <f t="shared" si="35"/>
        <v>587396.2499999993</v>
      </c>
      <c r="I349" s="188">
        <f t="shared" si="36"/>
        <v>9437191603.1460266</v>
      </c>
    </row>
    <row r="350" spans="1:9" s="232" customFormat="1" ht="15" customHeight="1" x14ac:dyDescent="0.2">
      <c r="A350" s="231">
        <v>45194</v>
      </c>
      <c r="B350" s="231"/>
      <c r="C350" s="232" t="s">
        <v>389</v>
      </c>
      <c r="D350" s="16"/>
      <c r="E350" s="188"/>
      <c r="F350" s="16">
        <v>157832.76</v>
      </c>
      <c r="G350" s="188">
        <v>2427941347.0799999</v>
      </c>
      <c r="H350" s="16">
        <f t="shared" ref="H350:H359" si="37">+H349+D350-F350</f>
        <v>429563.48999999929</v>
      </c>
      <c r="I350" s="188">
        <f t="shared" ref="I350:I359" si="38">+I349+E350-G350</f>
        <v>7009250256.0660267</v>
      </c>
    </row>
    <row r="351" spans="1:9" s="232" customFormat="1" ht="15" customHeight="1" x14ac:dyDescent="0.2">
      <c r="A351" s="231">
        <v>45194</v>
      </c>
      <c r="B351" s="231"/>
      <c r="C351" s="232" t="s">
        <v>17</v>
      </c>
      <c r="D351" s="16"/>
      <c r="E351" s="188"/>
      <c r="F351" s="16">
        <v>30</v>
      </c>
      <c r="G351" s="188">
        <v>461490</v>
      </c>
      <c r="H351" s="16">
        <f t="shared" si="37"/>
        <v>429533.48999999929</v>
      </c>
      <c r="I351" s="188">
        <f t="shared" si="38"/>
        <v>7008788766.0660267</v>
      </c>
    </row>
    <row r="352" spans="1:9" s="232" customFormat="1" ht="15" customHeight="1" x14ac:dyDescent="0.2">
      <c r="A352" s="231">
        <v>45194</v>
      </c>
      <c r="C352" s="232" t="s">
        <v>255</v>
      </c>
      <c r="D352" s="16"/>
      <c r="E352" s="188"/>
      <c r="F352" s="16">
        <v>30000</v>
      </c>
      <c r="G352" s="188">
        <v>461490000</v>
      </c>
      <c r="H352" s="16">
        <f t="shared" si="37"/>
        <v>399533.48999999929</v>
      </c>
      <c r="I352" s="188">
        <f t="shared" si="38"/>
        <v>6547298766.0660267</v>
      </c>
    </row>
    <row r="353" spans="1:9" s="232" customFormat="1" ht="15" customHeight="1" x14ac:dyDescent="0.2">
      <c r="A353" s="231">
        <v>45191</v>
      </c>
      <c r="B353" s="231"/>
      <c r="C353" s="232" t="s">
        <v>393</v>
      </c>
      <c r="D353" s="16"/>
      <c r="E353" s="188"/>
      <c r="F353" s="16">
        <v>155877.85999999999</v>
      </c>
      <c r="G353" s="188">
        <v>2400051410.4200001</v>
      </c>
      <c r="H353" s="16">
        <f t="shared" si="37"/>
        <v>243655.62999999931</v>
      </c>
      <c r="I353" s="188">
        <f t="shared" si="38"/>
        <v>4147247355.6460266</v>
      </c>
    </row>
    <row r="354" spans="1:9" s="232" customFormat="1" ht="15" customHeight="1" x14ac:dyDescent="0.2">
      <c r="A354" s="231">
        <v>45191</v>
      </c>
      <c r="B354" s="231"/>
      <c r="C354" s="232" t="s">
        <v>17</v>
      </c>
      <c r="D354" s="16"/>
      <c r="E354" s="188"/>
      <c r="F354" s="16">
        <v>30</v>
      </c>
      <c r="G354" s="188">
        <v>461910</v>
      </c>
      <c r="H354" s="16">
        <f t="shared" si="37"/>
        <v>243625.62999999931</v>
      </c>
      <c r="I354" s="188">
        <f t="shared" si="38"/>
        <v>4146785445.6460266</v>
      </c>
    </row>
    <row r="355" spans="1:9" s="232" customFormat="1" ht="15" customHeight="1" x14ac:dyDescent="0.2">
      <c r="A355" s="231">
        <v>45191</v>
      </c>
      <c r="B355" s="231"/>
      <c r="C355" s="232" t="s">
        <v>255</v>
      </c>
      <c r="D355" s="16"/>
      <c r="E355" s="188"/>
      <c r="F355" s="160">
        <v>12960</v>
      </c>
      <c r="G355" s="242">
        <v>195475680</v>
      </c>
      <c r="H355" s="16">
        <f t="shared" si="37"/>
        <v>230665.62999999931</v>
      </c>
      <c r="I355" s="188">
        <f t="shared" si="38"/>
        <v>3951309765.6460266</v>
      </c>
    </row>
    <row r="356" spans="1:9" s="232" customFormat="1" ht="15" customHeight="1" x14ac:dyDescent="0.2">
      <c r="A356" s="231">
        <v>45191</v>
      </c>
      <c r="C356" s="232" t="s">
        <v>255</v>
      </c>
      <c r="D356" s="16"/>
      <c r="E356" s="188"/>
      <c r="F356" s="16">
        <v>18000</v>
      </c>
      <c r="G356" s="188">
        <v>276894000</v>
      </c>
      <c r="H356" s="16">
        <f t="shared" si="37"/>
        <v>212665.62999999931</v>
      </c>
      <c r="I356" s="188">
        <f t="shared" si="38"/>
        <v>3674415765.6460266</v>
      </c>
    </row>
    <row r="357" spans="1:9" s="232" customFormat="1" ht="15" customHeight="1" x14ac:dyDescent="0.2">
      <c r="A357" s="231">
        <v>45196</v>
      </c>
      <c r="B357" s="231"/>
      <c r="C357" s="232" t="s">
        <v>397</v>
      </c>
      <c r="D357" s="16"/>
      <c r="E357" s="188"/>
      <c r="F357" s="16">
        <v>151871.84</v>
      </c>
      <c r="G357" s="188">
        <v>2348546133.7600002</v>
      </c>
      <c r="H357" s="16">
        <f t="shared" si="37"/>
        <v>60793.78999999931</v>
      </c>
      <c r="I357" s="188">
        <f t="shared" si="38"/>
        <v>1325869631.8860264</v>
      </c>
    </row>
    <row r="358" spans="1:9" s="232" customFormat="1" ht="15" customHeight="1" x14ac:dyDescent="0.2">
      <c r="A358" s="231">
        <v>45196</v>
      </c>
      <c r="B358" s="231"/>
      <c r="C358" s="232" t="s">
        <v>17</v>
      </c>
      <c r="D358" s="16"/>
      <c r="E358" s="188"/>
      <c r="F358" s="16">
        <v>30</v>
      </c>
      <c r="G358" s="188">
        <v>463920</v>
      </c>
      <c r="H358" s="16">
        <f t="shared" si="37"/>
        <v>60763.78999999931</v>
      </c>
      <c r="I358" s="188">
        <f t="shared" si="38"/>
        <v>1325405711.8860264</v>
      </c>
    </row>
    <row r="359" spans="1:9" s="232" customFormat="1" ht="15" customHeight="1" x14ac:dyDescent="0.2">
      <c r="A359" s="231">
        <v>45196</v>
      </c>
      <c r="C359" s="232" t="s">
        <v>255</v>
      </c>
      <c r="D359" s="16"/>
      <c r="E359" s="188"/>
      <c r="F359" s="16">
        <v>30000</v>
      </c>
      <c r="G359" s="188">
        <v>461490000</v>
      </c>
      <c r="H359" s="16">
        <f t="shared" si="37"/>
        <v>30763.78999999931</v>
      </c>
      <c r="I359" s="188">
        <f t="shared" si="38"/>
        <v>863915711.88602638</v>
      </c>
    </row>
    <row r="360" spans="1:9" s="232" customFormat="1" ht="15" customHeight="1" x14ac:dyDescent="0.2">
      <c r="A360" s="231">
        <v>45199</v>
      </c>
      <c r="B360" s="2"/>
      <c r="C360" s="232" t="s">
        <v>18</v>
      </c>
      <c r="D360" s="16"/>
      <c r="E360" s="188"/>
      <c r="F360" s="16"/>
      <c r="G360" s="188">
        <v>32410620.359999999</v>
      </c>
      <c r="H360" s="16">
        <f t="shared" ref="H360" si="39">+H359+D360-F360</f>
        <v>30763.78999999931</v>
      </c>
      <c r="I360" s="188">
        <f t="shared" ref="I360" si="40">+I359+E360-G360</f>
        <v>831505091.52602637</v>
      </c>
    </row>
    <row r="362" spans="1:9" ht="15" customHeight="1" x14ac:dyDescent="0.2">
      <c r="H362" s="3">
        <f>+H360+UM!H409</f>
        <v>-1032775.0700000001</v>
      </c>
      <c r="I362" s="4">
        <f>+I360+UM!I409</f>
        <v>-15273709130.54998</v>
      </c>
    </row>
    <row r="363" spans="1:9" ht="15" customHeight="1" x14ac:dyDescent="0.2">
      <c r="H363" s="3">
        <f>RINCIAN!J775</f>
        <v>-321737.65999999997</v>
      </c>
      <c r="I363" s="4">
        <f>RINCIAN!K775</f>
        <v>-4568994559.3299999</v>
      </c>
    </row>
    <row r="364" spans="1:9" ht="15" customHeight="1" x14ac:dyDescent="0.2">
      <c r="H364" s="3">
        <f>+H362-H363</f>
        <v>-711037.41000000015</v>
      </c>
      <c r="I364" s="4">
        <f>+I362-I363</f>
        <v>-10704714571.21998</v>
      </c>
    </row>
    <row r="368" spans="1:9" s="232" customFormat="1" ht="15" customHeight="1" x14ac:dyDescent="0.2">
      <c r="A368" s="231">
        <v>45205</v>
      </c>
      <c r="B368" s="231"/>
      <c r="C368" s="232" t="s">
        <v>81</v>
      </c>
      <c r="D368" s="16">
        <v>67342.66</v>
      </c>
      <c r="E368" s="188">
        <v>1041723607.5400001</v>
      </c>
      <c r="F368" s="16"/>
      <c r="G368" s="188"/>
      <c r="H368" s="16">
        <f>+H360+D368-F368</f>
        <v>98106.449999999313</v>
      </c>
      <c r="I368" s="188">
        <f>+I360+E368-G368</f>
        <v>1873228699.0660264</v>
      </c>
    </row>
    <row r="369" spans="1:9" s="232" customFormat="1" ht="15" customHeight="1" x14ac:dyDescent="0.2">
      <c r="A369" s="231">
        <v>45210</v>
      </c>
      <c r="B369" s="231"/>
      <c r="C369" s="232" t="s">
        <v>193</v>
      </c>
      <c r="D369" s="16">
        <v>64229.15</v>
      </c>
      <c r="E369" s="188">
        <v>1001782052.5500001</v>
      </c>
      <c r="F369" s="16"/>
      <c r="G369" s="188"/>
      <c r="H369" s="16">
        <f t="shared" ref="H369:H384" si="41">+H368+D369-F369</f>
        <v>162335.59999999931</v>
      </c>
      <c r="I369" s="188">
        <f t="shared" ref="I369:I384" si="42">+I368+E369-G369</f>
        <v>2875010751.6160264</v>
      </c>
    </row>
    <row r="370" spans="1:9" s="232" customFormat="1" ht="15" customHeight="1" x14ac:dyDescent="0.2">
      <c r="A370" s="231">
        <v>45222</v>
      </c>
      <c r="B370" s="231"/>
      <c r="C370" s="232" t="s">
        <v>16</v>
      </c>
      <c r="D370" s="16">
        <v>84552.9</v>
      </c>
      <c r="E370" s="188">
        <v>1327565082.8999999</v>
      </c>
      <c r="F370" s="16"/>
      <c r="G370" s="188"/>
      <c r="H370" s="16">
        <f t="shared" si="41"/>
        <v>246888.4999999993</v>
      </c>
      <c r="I370" s="188">
        <f t="shared" si="42"/>
        <v>4202575834.5160265</v>
      </c>
    </row>
    <row r="371" spans="1:9" s="232" customFormat="1" ht="15" customHeight="1" x14ac:dyDescent="0.2">
      <c r="A371" s="231">
        <v>45222</v>
      </c>
      <c r="B371" s="231"/>
      <c r="C371" s="232" t="s">
        <v>40</v>
      </c>
      <c r="D371" s="16">
        <v>183805.93</v>
      </c>
      <c r="E371" s="188">
        <v>2885936906.9299998</v>
      </c>
      <c r="F371" s="16"/>
      <c r="G371" s="188"/>
      <c r="H371" s="16">
        <f t="shared" si="41"/>
        <v>430694.42999999929</v>
      </c>
      <c r="I371" s="188">
        <f t="shared" si="42"/>
        <v>7088512741.4460258</v>
      </c>
    </row>
    <row r="372" spans="1:9" s="232" customFormat="1" ht="15" customHeight="1" x14ac:dyDescent="0.2">
      <c r="A372" s="231">
        <v>45229</v>
      </c>
      <c r="B372" s="2"/>
      <c r="C372" s="232" t="s">
        <v>16</v>
      </c>
      <c r="D372" s="233">
        <v>91216.11</v>
      </c>
      <c r="E372" s="188">
        <v>1438660486.9200001</v>
      </c>
      <c r="F372" s="16"/>
      <c r="G372" s="188"/>
      <c r="H372" s="16">
        <f t="shared" ref="H372:I374" si="43">+H371+D372-F372</f>
        <v>521910.53999999928</v>
      </c>
      <c r="I372" s="188">
        <f t="shared" si="43"/>
        <v>8527173228.3660259</v>
      </c>
    </row>
    <row r="373" spans="1:9" s="232" customFormat="1" ht="15" customHeight="1" x14ac:dyDescent="0.2">
      <c r="A373" s="231">
        <v>45230</v>
      </c>
      <c r="B373" s="231"/>
      <c r="C373" s="232" t="s">
        <v>40</v>
      </c>
      <c r="D373" s="20">
        <v>185718.76</v>
      </c>
      <c r="E373" s="188">
        <v>2929156282.7199998</v>
      </c>
      <c r="F373" s="16"/>
      <c r="G373" s="188"/>
      <c r="H373" s="16">
        <f t="shared" si="43"/>
        <v>707629.29999999935</v>
      </c>
      <c r="I373" s="188">
        <f t="shared" si="43"/>
        <v>11456329511.086025</v>
      </c>
    </row>
    <row r="374" spans="1:9" s="232" customFormat="1" ht="15" customHeight="1" x14ac:dyDescent="0.2">
      <c r="A374" s="231">
        <v>45202</v>
      </c>
      <c r="B374" s="231"/>
      <c r="C374" s="232" t="s">
        <v>405</v>
      </c>
      <c r="D374" s="16"/>
      <c r="E374" s="188"/>
      <c r="F374" s="16">
        <v>54806.96</v>
      </c>
      <c r="G374" s="188">
        <v>850549212.24000001</v>
      </c>
      <c r="H374" s="16">
        <f t="shared" si="43"/>
        <v>652822.33999999939</v>
      </c>
      <c r="I374" s="188">
        <f t="shared" si="43"/>
        <v>10605780298.846025</v>
      </c>
    </row>
    <row r="375" spans="1:9" s="232" customFormat="1" ht="15" customHeight="1" x14ac:dyDescent="0.2">
      <c r="A375" s="245">
        <v>45202</v>
      </c>
      <c r="B375" s="245"/>
      <c r="C375" s="240" t="s">
        <v>17</v>
      </c>
      <c r="D375" s="213"/>
      <c r="E375" s="246"/>
      <c r="F375" s="213">
        <v>5</v>
      </c>
      <c r="G375" s="246">
        <v>77595</v>
      </c>
      <c r="H375" s="16">
        <f t="shared" si="41"/>
        <v>652817.33999999939</v>
      </c>
      <c r="I375" s="188">
        <f t="shared" si="42"/>
        <v>10605702703.846025</v>
      </c>
    </row>
    <row r="376" spans="1:9" s="232" customFormat="1" ht="15" customHeight="1" x14ac:dyDescent="0.2">
      <c r="A376" s="245">
        <v>45202</v>
      </c>
      <c r="B376" s="240"/>
      <c r="C376" s="240" t="s">
        <v>255</v>
      </c>
      <c r="D376" s="213"/>
      <c r="E376" s="246"/>
      <c r="F376" s="214">
        <v>12530.7</v>
      </c>
      <c r="G376" s="247">
        <v>194113073.69999999</v>
      </c>
      <c r="H376" s="16">
        <f t="shared" si="41"/>
        <v>640286.63999999943</v>
      </c>
      <c r="I376" s="188">
        <f t="shared" si="42"/>
        <v>10411589630.146025</v>
      </c>
    </row>
    <row r="377" spans="1:9" s="232" customFormat="1" ht="15" customHeight="1" x14ac:dyDescent="0.2">
      <c r="A377" s="245">
        <v>45206</v>
      </c>
      <c r="B377" s="245"/>
      <c r="C377" s="240" t="s">
        <v>406</v>
      </c>
      <c r="D377" s="213"/>
      <c r="E377" s="246"/>
      <c r="F377" s="213">
        <v>46380.15</v>
      </c>
      <c r="G377" s="246">
        <v>723576720.14999998</v>
      </c>
      <c r="H377" s="16">
        <f t="shared" si="41"/>
        <v>593906.48999999941</v>
      </c>
      <c r="I377" s="188">
        <f t="shared" si="42"/>
        <v>9688012909.9960251</v>
      </c>
    </row>
    <row r="378" spans="1:9" s="232" customFormat="1" ht="15" customHeight="1" x14ac:dyDescent="0.2">
      <c r="A378" s="245">
        <v>45206</v>
      </c>
      <c r="B378" s="245"/>
      <c r="C378" s="240" t="s">
        <v>17</v>
      </c>
      <c r="D378" s="213"/>
      <c r="E378" s="246"/>
      <c r="F378" s="213">
        <v>17</v>
      </c>
      <c r="G378" s="246">
        <v>265217</v>
      </c>
      <c r="H378" s="16">
        <f t="shared" si="41"/>
        <v>593889.48999999941</v>
      </c>
      <c r="I378" s="188">
        <f t="shared" si="42"/>
        <v>9687747692.9960251</v>
      </c>
    </row>
    <row r="379" spans="1:9" s="232" customFormat="1" ht="15" customHeight="1" x14ac:dyDescent="0.2">
      <c r="A379" s="245">
        <v>45206</v>
      </c>
      <c r="B379" s="245"/>
      <c r="C379" s="240" t="s">
        <v>255</v>
      </c>
      <c r="D379" s="213"/>
      <c r="E379" s="246"/>
      <c r="F379" s="160">
        <v>17832</v>
      </c>
      <c r="G379" s="242">
        <v>273239736</v>
      </c>
      <c r="H379" s="16">
        <f t="shared" si="41"/>
        <v>576057.48999999941</v>
      </c>
      <c r="I379" s="188">
        <f t="shared" si="42"/>
        <v>9414507956.9960251</v>
      </c>
    </row>
    <row r="380" spans="1:9" s="232" customFormat="1" ht="15" customHeight="1" x14ac:dyDescent="0.2">
      <c r="A380" s="245">
        <v>45209</v>
      </c>
      <c r="B380" s="245"/>
      <c r="C380" s="240" t="s">
        <v>407</v>
      </c>
      <c r="D380" s="213"/>
      <c r="E380" s="246"/>
      <c r="F380" s="213">
        <v>71515.899999999994</v>
      </c>
      <c r="G380" s="246">
        <v>1121012447.6600001</v>
      </c>
      <c r="H380" s="16">
        <f t="shared" si="41"/>
        <v>504541.58999999939</v>
      </c>
      <c r="I380" s="188">
        <f t="shared" si="42"/>
        <v>8293495509.3360252</v>
      </c>
    </row>
    <row r="381" spans="1:9" s="232" customFormat="1" ht="15" customHeight="1" x14ac:dyDescent="0.2">
      <c r="A381" s="245">
        <v>45209</v>
      </c>
      <c r="B381" s="245"/>
      <c r="C381" s="240" t="s">
        <v>17</v>
      </c>
      <c r="D381" s="213"/>
      <c r="E381" s="246"/>
      <c r="F381" s="213">
        <v>37</v>
      </c>
      <c r="G381" s="246">
        <v>579975.37</v>
      </c>
      <c r="H381" s="16">
        <f t="shared" si="41"/>
        <v>504504.58999999939</v>
      </c>
      <c r="I381" s="188">
        <f t="shared" si="42"/>
        <v>8292915533.9660254</v>
      </c>
    </row>
    <row r="382" spans="1:9" s="232" customFormat="1" ht="15" customHeight="1" x14ac:dyDescent="0.2">
      <c r="A382" s="245">
        <v>45209</v>
      </c>
      <c r="B382" s="231"/>
      <c r="C382" s="232" t="s">
        <v>407</v>
      </c>
      <c r="D382" s="16"/>
      <c r="E382" s="188"/>
      <c r="F382" s="159">
        <v>13000</v>
      </c>
      <c r="G382" s="235">
        <v>199862000</v>
      </c>
      <c r="H382" s="16">
        <f t="shared" si="41"/>
        <v>491504.58999999939</v>
      </c>
      <c r="I382" s="188">
        <f t="shared" si="42"/>
        <v>8093053533.9660254</v>
      </c>
    </row>
    <row r="383" spans="1:9" s="232" customFormat="1" ht="15" customHeight="1" x14ac:dyDescent="0.2">
      <c r="A383" s="231">
        <v>45223</v>
      </c>
      <c r="B383" s="231"/>
      <c r="C383" s="232" t="s">
        <v>408</v>
      </c>
      <c r="D383" s="16"/>
      <c r="E383" s="188"/>
      <c r="F383" s="16">
        <v>153805.93</v>
      </c>
      <c r="G383" s="188">
        <v>2452127941.9899998</v>
      </c>
      <c r="H383" s="16">
        <f t="shared" si="41"/>
        <v>337698.65999999939</v>
      </c>
      <c r="I383" s="188">
        <f t="shared" si="42"/>
        <v>5640925591.9760256</v>
      </c>
    </row>
    <row r="384" spans="1:9" s="232" customFormat="1" ht="15" customHeight="1" x14ac:dyDescent="0.2">
      <c r="A384" s="231">
        <v>45223</v>
      </c>
      <c r="C384" s="232" t="s">
        <v>255</v>
      </c>
      <c r="D384" s="16"/>
      <c r="E384" s="188"/>
      <c r="F384" s="16">
        <v>30000</v>
      </c>
      <c r="G384" s="188">
        <v>461490000</v>
      </c>
      <c r="H384" s="16">
        <f t="shared" si="41"/>
        <v>307698.65999999939</v>
      </c>
      <c r="I384" s="188">
        <f t="shared" si="42"/>
        <v>5179435591.9760256</v>
      </c>
    </row>
    <row r="385" spans="1:9" s="232" customFormat="1" ht="15" customHeight="1" x14ac:dyDescent="0.2">
      <c r="A385" s="231">
        <v>45230</v>
      </c>
      <c r="C385" s="232" t="s">
        <v>255</v>
      </c>
      <c r="D385" s="16"/>
      <c r="E385" s="188"/>
      <c r="F385" s="16">
        <v>30000</v>
      </c>
      <c r="G385" s="188">
        <v>460560000</v>
      </c>
      <c r="H385" s="16">
        <f t="shared" ref="H385:H386" si="44">+H384+D385-F385</f>
        <v>277698.65999999939</v>
      </c>
      <c r="I385" s="188">
        <f t="shared" ref="I385:I386" si="45">+I384+E385-G385</f>
        <v>4718875591.9760256</v>
      </c>
    </row>
    <row r="386" spans="1:9" s="232" customFormat="1" ht="15" customHeight="1" x14ac:dyDescent="0.2">
      <c r="A386" s="231">
        <v>45230</v>
      </c>
      <c r="B386" s="2"/>
      <c r="C386" s="232" t="s">
        <v>18</v>
      </c>
      <c r="D386" s="16"/>
      <c r="E386" s="188"/>
      <c r="F386" s="16"/>
      <c r="G386" s="188">
        <f>70966133.58+4700379.4+6110659.87-3016273.4-27681035.06+12600000</f>
        <v>63679864.390000001</v>
      </c>
      <c r="H386" s="16">
        <f t="shared" si="44"/>
        <v>277698.65999999939</v>
      </c>
      <c r="I386" s="188">
        <f t="shared" si="45"/>
        <v>4655195727.5860252</v>
      </c>
    </row>
    <row r="389" spans="1:9" ht="15" customHeight="1" x14ac:dyDescent="0.2">
      <c r="H389" s="3">
        <f>+H386+UM!H422</f>
        <v>-758775.90000000014</v>
      </c>
      <c r="I389" s="4">
        <f>+I386+UM!I422</f>
        <v>-11055241619.18998</v>
      </c>
    </row>
    <row r="390" spans="1:9" ht="15" customHeight="1" x14ac:dyDescent="0.2">
      <c r="H390" s="3">
        <f>RINCIAN!J775</f>
        <v>-321737.65999999997</v>
      </c>
      <c r="I390" s="4">
        <f>RINCIAN!K775</f>
        <v>-4568994559.3299999</v>
      </c>
    </row>
    <row r="391" spans="1:9" ht="15" customHeight="1" x14ac:dyDescent="0.2">
      <c r="H391" s="3">
        <f>H389-H390</f>
        <v>-437038.24000000017</v>
      </c>
      <c r="I391" s="4">
        <f>I389-I390</f>
        <v>-6486247059.8599796</v>
      </c>
    </row>
    <row r="394" spans="1:9" s="232" customFormat="1" ht="15" customHeight="1" x14ac:dyDescent="0.2">
      <c r="A394" s="231">
        <v>45231</v>
      </c>
      <c r="B394" s="231"/>
      <c r="C394" s="232" t="s">
        <v>40</v>
      </c>
      <c r="D394" s="16">
        <v>186274.09</v>
      </c>
      <c r="E394" s="188">
        <v>2963993320.0799999</v>
      </c>
      <c r="F394" s="16"/>
      <c r="G394" s="188"/>
      <c r="H394" s="16">
        <f>+H386+D394-F394</f>
        <v>463972.74999999942</v>
      </c>
      <c r="I394" s="188">
        <f>+I386+E394-G394</f>
        <v>7619189047.6660252</v>
      </c>
    </row>
    <row r="395" spans="1:9" s="232" customFormat="1" ht="15" customHeight="1" x14ac:dyDescent="0.2">
      <c r="A395" s="231">
        <v>45236</v>
      </c>
      <c r="B395" s="231"/>
      <c r="C395" s="232" t="s">
        <v>16</v>
      </c>
      <c r="D395" s="16">
        <v>153285.6</v>
      </c>
      <c r="E395" s="188">
        <v>2439080467.1999998</v>
      </c>
      <c r="F395" s="16"/>
      <c r="G395" s="188"/>
      <c r="H395" s="16">
        <f t="shared" ref="H395:I399" si="46">+H394+D395-F395</f>
        <v>617258.34999999939</v>
      </c>
      <c r="I395" s="188">
        <f t="shared" si="46"/>
        <v>10058269514.866024</v>
      </c>
    </row>
    <row r="396" spans="1:9" s="232" customFormat="1" ht="15" customHeight="1" x14ac:dyDescent="0.2">
      <c r="A396" s="231">
        <v>45250</v>
      </c>
      <c r="B396" s="231"/>
      <c r="C396" s="232" t="s">
        <v>16</v>
      </c>
      <c r="D396" s="16">
        <v>85859.69</v>
      </c>
      <c r="E396" s="188">
        <v>1341385936.8699999</v>
      </c>
      <c r="F396" s="16"/>
      <c r="G396" s="188"/>
      <c r="H396" s="16">
        <f t="shared" si="46"/>
        <v>703118.03999999934</v>
      </c>
      <c r="I396" s="188">
        <f t="shared" si="46"/>
        <v>11399655451.736023</v>
      </c>
    </row>
    <row r="397" spans="1:9" s="232" customFormat="1" ht="15" customHeight="1" x14ac:dyDescent="0.2">
      <c r="A397" s="231">
        <v>45250</v>
      </c>
      <c r="B397" s="231"/>
      <c r="C397" s="232" t="s">
        <v>16</v>
      </c>
      <c r="D397" s="16">
        <v>163147.04</v>
      </c>
      <c r="E397" s="188">
        <v>2548846205.9200001</v>
      </c>
      <c r="F397" s="16"/>
      <c r="G397" s="188"/>
      <c r="H397" s="16">
        <f t="shared" si="46"/>
        <v>866265.07999999938</v>
      </c>
      <c r="I397" s="188">
        <f t="shared" si="46"/>
        <v>13948501657.656023</v>
      </c>
    </row>
    <row r="398" spans="1:9" s="232" customFormat="1" ht="15" customHeight="1" x14ac:dyDescent="0.2">
      <c r="A398" s="231">
        <v>45254</v>
      </c>
      <c r="B398" s="231"/>
      <c r="C398" s="232" t="s">
        <v>326</v>
      </c>
      <c r="D398" s="16">
        <v>65383.86</v>
      </c>
      <c r="E398" s="188">
        <v>1020184367.58</v>
      </c>
      <c r="F398" s="16"/>
      <c r="G398" s="188"/>
      <c r="H398" s="16">
        <f t="shared" si="46"/>
        <v>931648.93999999936</v>
      </c>
      <c r="I398" s="188">
        <f t="shared" si="46"/>
        <v>14968686025.236023</v>
      </c>
    </row>
    <row r="399" spans="1:9" s="232" customFormat="1" ht="15" customHeight="1" x14ac:dyDescent="0.2">
      <c r="A399" s="231">
        <v>45254</v>
      </c>
      <c r="B399" s="231"/>
      <c r="C399" s="232" t="s">
        <v>40</v>
      </c>
      <c r="D399" s="16">
        <v>185076.34</v>
      </c>
      <c r="E399" s="188">
        <v>2887746133.02</v>
      </c>
      <c r="F399" s="16"/>
      <c r="G399" s="188"/>
      <c r="H399" s="16">
        <f t="shared" si="46"/>
        <v>1116725.2799999993</v>
      </c>
      <c r="I399" s="188">
        <f t="shared" si="46"/>
        <v>17856432158.256023</v>
      </c>
    </row>
    <row r="400" spans="1:9" s="232" customFormat="1" ht="15" customHeight="1" x14ac:dyDescent="0.2">
      <c r="A400" s="231">
        <v>45254</v>
      </c>
      <c r="B400" s="231"/>
      <c r="C400" s="232" t="s">
        <v>40</v>
      </c>
      <c r="D400" s="16">
        <v>186298.26</v>
      </c>
      <c r="E400" s="188">
        <v>2906811750.7800002</v>
      </c>
      <c r="F400" s="16"/>
      <c r="G400" s="188"/>
      <c r="H400" s="16">
        <f t="shared" ref="H400:H441" si="47">+H399+D400-F400</f>
        <v>1303023.5399999993</v>
      </c>
      <c r="I400" s="188">
        <f t="shared" ref="I400:I441" si="48">+I399+E400-G400</f>
        <v>20763243909.036022</v>
      </c>
    </row>
    <row r="401" spans="1:9" s="232" customFormat="1" ht="15" customHeight="1" x14ac:dyDescent="0.2">
      <c r="A401" s="231">
        <v>45257</v>
      </c>
      <c r="B401" s="2"/>
      <c r="C401" s="232" t="s">
        <v>16</v>
      </c>
      <c r="D401" s="16">
        <v>92297.46</v>
      </c>
      <c r="E401" s="188">
        <v>1440117268.3800001</v>
      </c>
      <c r="F401" s="16"/>
      <c r="G401" s="188"/>
      <c r="H401" s="16">
        <f t="shared" si="47"/>
        <v>1395320.9999999993</v>
      </c>
      <c r="I401" s="188">
        <f t="shared" si="48"/>
        <v>22203361177.416023</v>
      </c>
    </row>
    <row r="402" spans="1:9" s="232" customFormat="1" ht="15" customHeight="1" x14ac:dyDescent="0.2">
      <c r="A402" s="231">
        <v>45257</v>
      </c>
      <c r="B402" s="2"/>
      <c r="C402" s="232" t="s">
        <v>16</v>
      </c>
      <c r="D402" s="16">
        <v>162780.13</v>
      </c>
      <c r="E402" s="188">
        <v>2539858368.3899999</v>
      </c>
      <c r="F402" s="16"/>
      <c r="G402" s="188"/>
      <c r="H402" s="16">
        <f t="shared" si="47"/>
        <v>1558101.1299999994</v>
      </c>
      <c r="I402" s="188">
        <f t="shared" si="48"/>
        <v>24743219545.806023</v>
      </c>
    </row>
    <row r="403" spans="1:9" s="232" customFormat="1" ht="15" customHeight="1" x14ac:dyDescent="0.2">
      <c r="A403" s="231">
        <v>45260</v>
      </c>
      <c r="B403" s="231"/>
      <c r="C403" s="232" t="s">
        <v>40</v>
      </c>
      <c r="D403" s="16">
        <v>122084.78</v>
      </c>
      <c r="E403" s="188">
        <v>1895244124.72</v>
      </c>
      <c r="F403" s="16"/>
      <c r="G403" s="188"/>
      <c r="H403" s="16">
        <f t="shared" si="47"/>
        <v>1680185.9099999995</v>
      </c>
      <c r="I403" s="188">
        <f t="shared" si="48"/>
        <v>26638463670.526024</v>
      </c>
    </row>
    <row r="404" spans="1:9" s="232" customFormat="1" ht="15" customHeight="1" x14ac:dyDescent="0.2">
      <c r="A404" s="231">
        <v>45231</v>
      </c>
      <c r="B404" s="231"/>
      <c r="C404" s="232" t="s">
        <v>413</v>
      </c>
      <c r="D404" s="16"/>
      <c r="E404" s="188"/>
      <c r="F404" s="16">
        <v>155688.76</v>
      </c>
      <c r="G404" s="188">
        <v>2474984217.7199998</v>
      </c>
      <c r="H404" s="16">
        <f t="shared" si="47"/>
        <v>1524497.1499999994</v>
      </c>
      <c r="I404" s="188">
        <f t="shared" si="48"/>
        <v>24163479452.806023</v>
      </c>
    </row>
    <row r="405" spans="1:9" s="232" customFormat="1" ht="15" customHeight="1" x14ac:dyDescent="0.2">
      <c r="A405" s="231">
        <v>45231</v>
      </c>
      <c r="B405" s="231"/>
      <c r="C405" s="232" t="s">
        <v>17</v>
      </c>
      <c r="D405" s="16"/>
      <c r="E405" s="188"/>
      <c r="F405" s="16">
        <v>30</v>
      </c>
      <c r="G405" s="188">
        <v>476910</v>
      </c>
      <c r="H405" s="16">
        <f t="shared" si="47"/>
        <v>1524467.1499999994</v>
      </c>
      <c r="I405" s="188">
        <f t="shared" si="48"/>
        <v>24163002542.806023</v>
      </c>
    </row>
    <row r="406" spans="1:9" s="232" customFormat="1" ht="15" customHeight="1" x14ac:dyDescent="0.2">
      <c r="A406" s="231">
        <v>45231</v>
      </c>
      <c r="B406" s="231"/>
      <c r="C406" s="232" t="s">
        <v>415</v>
      </c>
      <c r="D406" s="16"/>
      <c r="E406" s="188"/>
      <c r="F406" s="16">
        <v>126250.6</v>
      </c>
      <c r="G406" s="188">
        <v>2007005788.2</v>
      </c>
      <c r="H406" s="16">
        <f t="shared" si="47"/>
        <v>1398216.5499999993</v>
      </c>
      <c r="I406" s="188">
        <f t="shared" si="48"/>
        <v>22155996754.606022</v>
      </c>
    </row>
    <row r="407" spans="1:9" s="232" customFormat="1" ht="15" customHeight="1" x14ac:dyDescent="0.2">
      <c r="A407" s="231">
        <v>45231</v>
      </c>
      <c r="B407" s="231"/>
      <c r="C407" s="232" t="s">
        <v>17</v>
      </c>
      <c r="D407" s="16"/>
      <c r="E407" s="188"/>
      <c r="F407" s="16">
        <v>35</v>
      </c>
      <c r="G407" s="188">
        <v>556395</v>
      </c>
      <c r="H407" s="16">
        <f t="shared" si="47"/>
        <v>1398181.5499999993</v>
      </c>
      <c r="I407" s="188">
        <f t="shared" si="48"/>
        <v>22155440359.606022</v>
      </c>
    </row>
    <row r="408" spans="1:9" s="232" customFormat="1" ht="15" customHeight="1" x14ac:dyDescent="0.2">
      <c r="A408" s="231">
        <v>45231</v>
      </c>
      <c r="B408" s="231"/>
      <c r="C408" s="232" t="s">
        <v>255</v>
      </c>
      <c r="D408" s="16"/>
      <c r="E408" s="188"/>
      <c r="F408" s="159">
        <v>24000</v>
      </c>
      <c r="G408" s="235">
        <v>368976000</v>
      </c>
      <c r="H408" s="16">
        <f t="shared" si="47"/>
        <v>1374181.5499999993</v>
      </c>
      <c r="I408" s="188">
        <f t="shared" si="48"/>
        <v>21786464359.606022</v>
      </c>
    </row>
    <row r="409" spans="1:9" s="232" customFormat="1" ht="15" customHeight="1" x14ac:dyDescent="0.2">
      <c r="A409" s="231">
        <v>45231</v>
      </c>
      <c r="B409" s="231"/>
      <c r="C409" s="232" t="s">
        <v>255</v>
      </c>
      <c r="D409" s="16"/>
      <c r="E409" s="188"/>
      <c r="F409" s="159">
        <v>3000</v>
      </c>
      <c r="G409" s="235">
        <v>46122000</v>
      </c>
      <c r="H409" s="16">
        <f t="shared" si="47"/>
        <v>1371181.5499999993</v>
      </c>
      <c r="I409" s="188">
        <f t="shared" si="48"/>
        <v>21740342359.606022</v>
      </c>
    </row>
    <row r="410" spans="1:9" s="232" customFormat="1" ht="15" customHeight="1" x14ac:dyDescent="0.2">
      <c r="A410" s="231">
        <v>45236</v>
      </c>
      <c r="B410" s="231"/>
      <c r="C410" s="232" t="s">
        <v>416</v>
      </c>
      <c r="D410" s="16"/>
      <c r="E410" s="188"/>
      <c r="F410" s="16">
        <v>156244.09</v>
      </c>
      <c r="G410" s="188">
        <v>2464125543.3899999</v>
      </c>
      <c r="H410" s="16">
        <f t="shared" si="47"/>
        <v>1214937.4599999993</v>
      </c>
      <c r="I410" s="188">
        <f t="shared" si="48"/>
        <v>19276216816.216022</v>
      </c>
    </row>
    <row r="411" spans="1:9" s="232" customFormat="1" ht="15" customHeight="1" x14ac:dyDescent="0.2">
      <c r="A411" s="231">
        <v>45236</v>
      </c>
      <c r="B411" s="231"/>
      <c r="C411" s="232" t="s">
        <v>17</v>
      </c>
      <c r="D411" s="16"/>
      <c r="E411" s="188"/>
      <c r="F411" s="16">
        <v>30</v>
      </c>
      <c r="G411" s="188">
        <v>473130</v>
      </c>
      <c r="H411" s="16">
        <f t="shared" si="47"/>
        <v>1214907.4599999993</v>
      </c>
      <c r="I411" s="188">
        <f t="shared" si="48"/>
        <v>19275743686.216022</v>
      </c>
    </row>
    <row r="412" spans="1:9" s="232" customFormat="1" ht="15" customHeight="1" x14ac:dyDescent="0.2">
      <c r="A412" s="231">
        <v>45236</v>
      </c>
      <c r="C412" s="232" t="s">
        <v>255</v>
      </c>
      <c r="D412" s="16"/>
      <c r="E412" s="188"/>
      <c r="F412" s="16">
        <v>20000</v>
      </c>
      <c r="G412" s="188">
        <v>307040000</v>
      </c>
      <c r="H412" s="16">
        <f t="shared" si="47"/>
        <v>1194907.4599999993</v>
      </c>
      <c r="I412" s="188">
        <f t="shared" si="48"/>
        <v>18968703686.216022</v>
      </c>
    </row>
    <row r="413" spans="1:9" s="232" customFormat="1" ht="15" customHeight="1" x14ac:dyDescent="0.2">
      <c r="A413" s="231">
        <v>45236</v>
      </c>
      <c r="C413" s="232" t="s">
        <v>255</v>
      </c>
      <c r="D413" s="16"/>
      <c r="E413" s="188"/>
      <c r="F413" s="16">
        <v>10000</v>
      </c>
      <c r="G413" s="188">
        <v>156000000</v>
      </c>
      <c r="H413" s="16">
        <f t="shared" si="47"/>
        <v>1184907.4599999993</v>
      </c>
      <c r="I413" s="188">
        <f t="shared" si="48"/>
        <v>18812703686.216022</v>
      </c>
    </row>
    <row r="414" spans="1:9" s="232" customFormat="1" ht="15" customHeight="1" x14ac:dyDescent="0.2">
      <c r="A414" s="231">
        <v>45245</v>
      </c>
      <c r="C414" s="232" t="s">
        <v>431</v>
      </c>
      <c r="D414" s="16"/>
      <c r="E414" s="188"/>
      <c r="F414" s="16">
        <v>73859.69</v>
      </c>
      <c r="G414" s="188">
        <v>1159523273.3099999</v>
      </c>
      <c r="H414" s="16">
        <f t="shared" si="47"/>
        <v>1111047.7699999993</v>
      </c>
      <c r="I414" s="188">
        <f t="shared" si="48"/>
        <v>17653180412.906021</v>
      </c>
    </row>
    <row r="415" spans="1:9" s="232" customFormat="1" ht="15" customHeight="1" x14ac:dyDescent="0.2">
      <c r="A415" s="231">
        <v>45245</v>
      </c>
      <c r="C415" s="232" t="s">
        <v>255</v>
      </c>
      <c r="D415" s="16"/>
      <c r="E415" s="188"/>
      <c r="F415" s="159">
        <v>12000</v>
      </c>
      <c r="G415" s="235">
        <v>184488000</v>
      </c>
      <c r="H415" s="16">
        <f t="shared" si="47"/>
        <v>1099047.7699999993</v>
      </c>
      <c r="I415" s="188">
        <f t="shared" si="48"/>
        <v>17468692412.906021</v>
      </c>
    </row>
    <row r="416" spans="1:9" s="232" customFormat="1" ht="15" customHeight="1" x14ac:dyDescent="0.2">
      <c r="A416" s="231">
        <v>45245</v>
      </c>
      <c r="C416" s="232" t="s">
        <v>432</v>
      </c>
      <c r="D416" s="16"/>
      <c r="E416" s="188"/>
      <c r="F416" s="16">
        <v>138147.04</v>
      </c>
      <c r="G416" s="188">
        <v>2168770380.96</v>
      </c>
      <c r="H416" s="16">
        <f t="shared" si="47"/>
        <v>960900.72999999928</v>
      </c>
      <c r="I416" s="188">
        <f t="shared" si="48"/>
        <v>15299922031.946022</v>
      </c>
    </row>
    <row r="417" spans="1:9" s="232" customFormat="1" ht="15" customHeight="1" x14ac:dyDescent="0.2">
      <c r="A417" s="231">
        <v>45245</v>
      </c>
      <c r="B417" s="231"/>
      <c r="C417" s="232" t="s">
        <v>255</v>
      </c>
      <c r="D417" s="16"/>
      <c r="E417" s="188"/>
      <c r="F417" s="159">
        <v>12000</v>
      </c>
      <c r="G417" s="235">
        <v>184488000</v>
      </c>
      <c r="H417" s="16">
        <f t="shared" si="47"/>
        <v>948900.72999999928</v>
      </c>
      <c r="I417" s="188">
        <f t="shared" si="48"/>
        <v>15115434031.946022</v>
      </c>
    </row>
    <row r="418" spans="1:9" s="232" customFormat="1" ht="15" customHeight="1" x14ac:dyDescent="0.2">
      <c r="A418" s="231">
        <v>45245</v>
      </c>
      <c r="B418" s="231"/>
      <c r="C418" s="232" t="s">
        <v>255</v>
      </c>
      <c r="D418" s="16"/>
      <c r="E418" s="188"/>
      <c r="F418" s="159">
        <v>13000</v>
      </c>
      <c r="G418" s="235">
        <v>199862000</v>
      </c>
      <c r="H418" s="16">
        <f t="shared" si="47"/>
        <v>935900.72999999928</v>
      </c>
      <c r="I418" s="188">
        <f t="shared" si="48"/>
        <v>14915572031.946022</v>
      </c>
    </row>
    <row r="419" spans="1:9" s="232" customFormat="1" ht="15" customHeight="1" x14ac:dyDescent="0.2">
      <c r="A419" s="231">
        <v>45245</v>
      </c>
      <c r="B419" s="1"/>
      <c r="C419" s="232" t="s">
        <v>432</v>
      </c>
      <c r="D419" s="16"/>
      <c r="E419" s="188"/>
      <c r="F419" s="16">
        <f>608.09</f>
        <v>608.09</v>
      </c>
      <c r="G419" s="188">
        <v>9546404.9100000001</v>
      </c>
      <c r="H419" s="16">
        <f t="shared" si="47"/>
        <v>935292.63999999932</v>
      </c>
      <c r="I419" s="188">
        <f t="shared" si="48"/>
        <v>14906025627.036022</v>
      </c>
    </row>
    <row r="420" spans="1:9" s="232" customFormat="1" ht="15" customHeight="1" x14ac:dyDescent="0.2">
      <c r="A420" s="231">
        <v>45245</v>
      </c>
      <c r="B420" s="1"/>
      <c r="C420" s="232" t="s">
        <v>17</v>
      </c>
      <c r="D420" s="16"/>
      <c r="E420" s="188"/>
      <c r="F420" s="16">
        <v>25</v>
      </c>
      <c r="G420" s="188">
        <v>392475</v>
      </c>
      <c r="H420" s="16">
        <f t="shared" ref="H420:H421" si="49">+H419+D420-F420</f>
        <v>935267.63999999932</v>
      </c>
      <c r="I420" s="188">
        <f t="shared" ref="I420:I421" si="50">+I419+E420-G420</f>
        <v>14905633152.036022</v>
      </c>
    </row>
    <row r="421" spans="1:9" s="232" customFormat="1" ht="15" customHeight="1" x14ac:dyDescent="0.2">
      <c r="A421" s="231">
        <v>45252</v>
      </c>
      <c r="B421" s="231"/>
      <c r="C421" s="232" t="s">
        <v>417</v>
      </c>
      <c r="D421" s="16"/>
      <c r="E421" s="188"/>
      <c r="F421" s="16">
        <v>48062.86</v>
      </c>
      <c r="G421" s="188">
        <v>741898306.96000004</v>
      </c>
      <c r="H421" s="16">
        <f t="shared" si="49"/>
        <v>887204.77999999933</v>
      </c>
      <c r="I421" s="188">
        <f t="shared" si="50"/>
        <v>14163734845.076023</v>
      </c>
    </row>
    <row r="422" spans="1:9" s="232" customFormat="1" ht="15" customHeight="1" x14ac:dyDescent="0.2">
      <c r="A422" s="231">
        <v>45252</v>
      </c>
      <c r="B422" s="231"/>
      <c r="C422" s="232" t="s">
        <v>17</v>
      </c>
      <c r="D422" s="16"/>
      <c r="E422" s="188"/>
      <c r="F422" s="16">
        <v>17</v>
      </c>
      <c r="G422" s="188">
        <v>262412</v>
      </c>
      <c r="H422" s="16">
        <f t="shared" si="47"/>
        <v>887187.77999999933</v>
      </c>
      <c r="I422" s="188">
        <f t="shared" si="48"/>
        <v>14163472433.076023</v>
      </c>
    </row>
    <row r="423" spans="1:9" s="232" customFormat="1" ht="15" customHeight="1" x14ac:dyDescent="0.2">
      <c r="A423" s="231">
        <v>45252</v>
      </c>
      <c r="C423" s="232" t="s">
        <v>255</v>
      </c>
      <c r="D423" s="16"/>
      <c r="E423" s="188"/>
      <c r="F423" s="16">
        <v>17304</v>
      </c>
      <c r="G423" s="188">
        <v>267589056</v>
      </c>
      <c r="H423" s="16">
        <f t="shared" si="47"/>
        <v>869883.77999999933</v>
      </c>
      <c r="I423" s="188">
        <f t="shared" si="48"/>
        <v>13895883377.076023</v>
      </c>
    </row>
    <row r="424" spans="1:9" s="232" customFormat="1" ht="15" customHeight="1" x14ac:dyDescent="0.2">
      <c r="A424" s="231">
        <v>45252</v>
      </c>
      <c r="B424" s="231"/>
      <c r="C424" s="232" t="s">
        <v>418</v>
      </c>
      <c r="D424" s="16"/>
      <c r="E424" s="188"/>
      <c r="F424" s="16">
        <v>145046.34</v>
      </c>
      <c r="G424" s="188">
        <v>2238935304.2399998</v>
      </c>
      <c r="H424" s="16">
        <f t="shared" si="47"/>
        <v>724837.43999999936</v>
      </c>
      <c r="I424" s="188">
        <f t="shared" si="48"/>
        <v>11656948072.836023</v>
      </c>
    </row>
    <row r="425" spans="1:9" s="232" customFormat="1" ht="15" customHeight="1" x14ac:dyDescent="0.2">
      <c r="A425" s="231">
        <v>45252</v>
      </c>
      <c r="B425" s="231"/>
      <c r="C425" s="232" t="s">
        <v>17</v>
      </c>
      <c r="D425" s="16"/>
      <c r="E425" s="188"/>
      <c r="F425" s="16">
        <v>30</v>
      </c>
      <c r="G425" s="188">
        <v>463080</v>
      </c>
      <c r="H425" s="16">
        <f t="shared" si="47"/>
        <v>724807.43999999936</v>
      </c>
      <c r="I425" s="188">
        <f t="shared" si="48"/>
        <v>11656484992.836023</v>
      </c>
    </row>
    <row r="426" spans="1:9" s="232" customFormat="1" ht="15" customHeight="1" x14ac:dyDescent="0.2">
      <c r="A426" s="231">
        <v>45252</v>
      </c>
      <c r="C426" s="232" t="s">
        <v>255</v>
      </c>
      <c r="D426" s="16"/>
      <c r="E426" s="188"/>
      <c r="F426" s="16">
        <v>20000</v>
      </c>
      <c r="G426" s="188">
        <v>312000000</v>
      </c>
      <c r="H426" s="16">
        <f t="shared" si="47"/>
        <v>704807.43999999936</v>
      </c>
      <c r="I426" s="188">
        <f t="shared" si="48"/>
        <v>11344484992.836023</v>
      </c>
    </row>
    <row r="427" spans="1:9" s="232" customFormat="1" ht="15" customHeight="1" x14ac:dyDescent="0.2">
      <c r="A427" s="231">
        <v>45252</v>
      </c>
      <c r="C427" s="232" t="s">
        <v>255</v>
      </c>
      <c r="D427" s="16"/>
      <c r="E427" s="188"/>
      <c r="F427" s="16">
        <v>10000</v>
      </c>
      <c r="G427" s="188">
        <v>153520000</v>
      </c>
      <c r="H427" s="16">
        <f t="shared" si="47"/>
        <v>694807.43999999936</v>
      </c>
      <c r="I427" s="188">
        <f t="shared" si="48"/>
        <v>11190964992.836023</v>
      </c>
    </row>
    <row r="428" spans="1:9" s="232" customFormat="1" ht="15" customHeight="1" x14ac:dyDescent="0.2">
      <c r="A428" s="231">
        <v>45252</v>
      </c>
      <c r="C428" s="232" t="s">
        <v>255</v>
      </c>
      <c r="D428" s="16"/>
      <c r="E428" s="188"/>
      <c r="F428" s="16">
        <v>10000</v>
      </c>
      <c r="G428" s="188">
        <v>153830000</v>
      </c>
      <c r="H428" s="16">
        <f t="shared" si="47"/>
        <v>684807.43999999936</v>
      </c>
      <c r="I428" s="188">
        <f t="shared" si="48"/>
        <v>11037134992.836023</v>
      </c>
    </row>
    <row r="429" spans="1:9" s="232" customFormat="1" ht="15" customHeight="1" x14ac:dyDescent="0.2">
      <c r="A429" s="231">
        <v>45254</v>
      </c>
      <c r="B429" s="253"/>
      <c r="C429" s="232" t="s">
        <v>419</v>
      </c>
      <c r="D429" s="16"/>
      <c r="E429" s="188"/>
      <c r="F429" s="16">
        <v>92673.04</v>
      </c>
      <c r="G429" s="188">
        <v>1445050712.72</v>
      </c>
      <c r="H429" s="16">
        <f t="shared" si="47"/>
        <v>592134.39999999932</v>
      </c>
      <c r="I429" s="188">
        <f t="shared" si="48"/>
        <v>9592084280.116024</v>
      </c>
    </row>
    <row r="430" spans="1:9" s="232" customFormat="1" ht="15" customHeight="1" x14ac:dyDescent="0.2">
      <c r="A430" s="231">
        <v>45254</v>
      </c>
      <c r="B430" s="253"/>
      <c r="C430" s="232" t="s">
        <v>17</v>
      </c>
      <c r="D430" s="16"/>
      <c r="E430" s="188"/>
      <c r="F430" s="16">
        <v>25</v>
      </c>
      <c r="G430" s="188">
        <v>389825</v>
      </c>
      <c r="H430" s="16">
        <f t="shared" si="47"/>
        <v>592109.39999999932</v>
      </c>
      <c r="I430" s="188">
        <f t="shared" si="48"/>
        <v>9591694455.116024</v>
      </c>
    </row>
    <row r="431" spans="1:9" s="232" customFormat="1" ht="15" customHeight="1" x14ac:dyDescent="0.2">
      <c r="A431" s="231">
        <v>45254</v>
      </c>
      <c r="B431" s="253"/>
      <c r="C431" s="232" t="s">
        <v>255</v>
      </c>
      <c r="D431" s="16"/>
      <c r="E431" s="188"/>
      <c r="F431" s="159">
        <v>23669</v>
      </c>
      <c r="G431" s="235">
        <v>363887206</v>
      </c>
      <c r="H431" s="16">
        <f t="shared" si="47"/>
        <v>568440.39999999932</v>
      </c>
      <c r="I431" s="188">
        <f t="shared" si="48"/>
        <v>9227807249.116024</v>
      </c>
    </row>
    <row r="432" spans="1:9" s="232" customFormat="1" ht="15" customHeight="1" x14ac:dyDescent="0.2">
      <c r="A432" s="231">
        <v>45254</v>
      </c>
      <c r="B432" s="253"/>
      <c r="C432" s="232" t="s">
        <v>255</v>
      </c>
      <c r="D432" s="16"/>
      <c r="E432" s="188"/>
      <c r="F432" s="159">
        <v>45780</v>
      </c>
      <c r="G432" s="235">
        <v>703821720</v>
      </c>
      <c r="H432" s="16">
        <f t="shared" si="47"/>
        <v>522660.39999999932</v>
      </c>
      <c r="I432" s="188">
        <f t="shared" si="48"/>
        <v>8523985529.116024</v>
      </c>
    </row>
    <row r="433" spans="1:9" s="232" customFormat="1" ht="15" customHeight="1" x14ac:dyDescent="0.2">
      <c r="A433" s="231">
        <v>45257</v>
      </c>
      <c r="B433" s="231"/>
      <c r="C433" s="232" t="s">
        <v>420</v>
      </c>
      <c r="D433" s="16"/>
      <c r="E433" s="188"/>
      <c r="F433" s="16">
        <v>150444.26</v>
      </c>
      <c r="G433" s="188">
        <v>2344974680.6199999</v>
      </c>
      <c r="H433" s="16">
        <f t="shared" si="47"/>
        <v>372216.13999999932</v>
      </c>
      <c r="I433" s="188">
        <f t="shared" si="48"/>
        <v>6179010848.4960241</v>
      </c>
    </row>
    <row r="434" spans="1:9" s="232" customFormat="1" ht="15" customHeight="1" x14ac:dyDescent="0.2">
      <c r="A434" s="231">
        <v>45257</v>
      </c>
      <c r="B434" s="231"/>
      <c r="C434" s="232" t="s">
        <v>17</v>
      </c>
      <c r="D434" s="16"/>
      <c r="E434" s="188"/>
      <c r="F434" s="16">
        <v>30</v>
      </c>
      <c r="G434" s="188">
        <v>467610</v>
      </c>
      <c r="H434" s="16">
        <f t="shared" si="47"/>
        <v>372186.13999999932</v>
      </c>
      <c r="I434" s="188">
        <f t="shared" si="48"/>
        <v>6178543238.4960241</v>
      </c>
    </row>
    <row r="435" spans="1:9" s="232" customFormat="1" ht="15" customHeight="1" x14ac:dyDescent="0.2">
      <c r="A435" s="231">
        <v>45257</v>
      </c>
      <c r="C435" s="232" t="s">
        <v>255</v>
      </c>
      <c r="D435" s="16"/>
      <c r="E435" s="188"/>
      <c r="F435" s="16">
        <v>13483.2</v>
      </c>
      <c r="G435" s="188">
        <v>206994086.40000001</v>
      </c>
      <c r="H435" s="16">
        <f t="shared" si="47"/>
        <v>358702.9399999993</v>
      </c>
      <c r="I435" s="188">
        <f t="shared" si="48"/>
        <v>5971549152.0960245</v>
      </c>
    </row>
    <row r="436" spans="1:9" s="232" customFormat="1" ht="15" customHeight="1" x14ac:dyDescent="0.2">
      <c r="A436" s="231">
        <v>45257</v>
      </c>
      <c r="C436" s="232" t="s">
        <v>255</v>
      </c>
      <c r="D436" s="16"/>
      <c r="E436" s="188"/>
      <c r="F436" s="16">
        <v>10000</v>
      </c>
      <c r="G436" s="188">
        <v>156000000</v>
      </c>
      <c r="H436" s="16">
        <f t="shared" si="47"/>
        <v>348702.9399999993</v>
      </c>
      <c r="I436" s="188">
        <f t="shared" si="48"/>
        <v>5815549152.0960245</v>
      </c>
    </row>
    <row r="437" spans="1:9" s="232" customFormat="1" ht="15" customHeight="1" x14ac:dyDescent="0.2">
      <c r="A437" s="231">
        <v>45257</v>
      </c>
      <c r="C437" s="232" t="s">
        <v>255</v>
      </c>
      <c r="D437" s="16"/>
      <c r="E437" s="188"/>
      <c r="F437" s="16">
        <v>12340.8</v>
      </c>
      <c r="G437" s="188">
        <v>196749374.40000001</v>
      </c>
      <c r="H437" s="16">
        <f t="shared" si="47"/>
        <v>336362.13999999932</v>
      </c>
      <c r="I437" s="188">
        <f t="shared" si="48"/>
        <v>5618799777.6960249</v>
      </c>
    </row>
    <row r="438" spans="1:9" s="232" customFormat="1" ht="15" customHeight="1" x14ac:dyDescent="0.2">
      <c r="A438" s="231">
        <v>45257</v>
      </c>
      <c r="B438" s="2"/>
      <c r="C438" s="232" t="s">
        <v>433</v>
      </c>
      <c r="D438" s="16"/>
      <c r="E438" s="188"/>
      <c r="F438" s="16">
        <v>0.01</v>
      </c>
      <c r="G438" s="188">
        <v>149.94</v>
      </c>
      <c r="H438" s="16">
        <f t="shared" si="47"/>
        <v>336362.12999999931</v>
      </c>
      <c r="I438" s="188">
        <f t="shared" si="48"/>
        <v>5618799627.7560253</v>
      </c>
    </row>
    <row r="439" spans="1:9" s="232" customFormat="1" ht="15" customHeight="1" x14ac:dyDescent="0.2">
      <c r="A439" s="231">
        <v>45259</v>
      </c>
      <c r="B439" s="231"/>
      <c r="C439" s="232" t="s">
        <v>434</v>
      </c>
      <c r="D439" s="16"/>
      <c r="E439" s="188"/>
      <c r="F439" s="16">
        <v>92054.78</v>
      </c>
      <c r="G439" s="188">
        <v>1422246351</v>
      </c>
      <c r="H439" s="16">
        <f t="shared" si="47"/>
        <v>244307.34999999931</v>
      </c>
      <c r="I439" s="188">
        <f t="shared" si="48"/>
        <v>4196553276.7560253</v>
      </c>
    </row>
    <row r="440" spans="1:9" s="232" customFormat="1" ht="15" customHeight="1" x14ac:dyDescent="0.2">
      <c r="A440" s="231">
        <v>45259</v>
      </c>
      <c r="B440" s="231"/>
      <c r="C440" s="232" t="s">
        <v>17</v>
      </c>
      <c r="D440" s="16"/>
      <c r="E440" s="188"/>
      <c r="F440" s="16">
        <v>30</v>
      </c>
      <c r="G440" s="188">
        <v>463500</v>
      </c>
      <c r="H440" s="16">
        <f t="shared" si="47"/>
        <v>244277.34999999931</v>
      </c>
      <c r="I440" s="188">
        <f t="shared" si="48"/>
        <v>4196089776.7560253</v>
      </c>
    </row>
    <row r="441" spans="1:9" s="232" customFormat="1" ht="15" customHeight="1" x14ac:dyDescent="0.2">
      <c r="A441" s="231">
        <v>45259</v>
      </c>
      <c r="C441" s="232" t="s">
        <v>255</v>
      </c>
      <c r="D441" s="16"/>
      <c r="E441" s="188"/>
      <c r="F441" s="16">
        <v>10000</v>
      </c>
      <c r="G441" s="188">
        <v>156000000</v>
      </c>
      <c r="H441" s="16">
        <f t="shared" si="47"/>
        <v>234277.34999999931</v>
      </c>
      <c r="I441" s="188">
        <f t="shared" si="48"/>
        <v>4040089776.7560253</v>
      </c>
    </row>
    <row r="442" spans="1:9" s="232" customFormat="1" ht="15" customHeight="1" x14ac:dyDescent="0.2">
      <c r="A442" s="231">
        <v>45259</v>
      </c>
      <c r="C442" s="232" t="s">
        <v>255</v>
      </c>
      <c r="D442" s="16"/>
      <c r="E442" s="188"/>
      <c r="F442" s="16">
        <v>20000</v>
      </c>
      <c r="G442" s="188">
        <v>298589493.884</v>
      </c>
      <c r="H442" s="16">
        <f t="shared" ref="H442:H443" si="51">+H441+D442-F442</f>
        <v>214277.34999999931</v>
      </c>
      <c r="I442" s="188">
        <f t="shared" ref="I442:I443" si="52">+I441+E442-G442</f>
        <v>3741500282.8720255</v>
      </c>
    </row>
    <row r="443" spans="1:9" s="232" customFormat="1" ht="15" customHeight="1" x14ac:dyDescent="0.2">
      <c r="A443" s="231">
        <v>45260</v>
      </c>
      <c r="B443" s="2"/>
      <c r="C443" s="232" t="s">
        <v>18</v>
      </c>
      <c r="D443" s="16"/>
      <c r="E443" s="188"/>
      <c r="F443" s="16"/>
      <c r="G443" s="188">
        <f>10434592.62+84923174.6660004+26290797.2800007-19464845+56209153.14</f>
        <v>158392872.7060011</v>
      </c>
      <c r="H443" s="237">
        <f t="shared" si="51"/>
        <v>214277.34999999931</v>
      </c>
      <c r="I443" s="238">
        <f t="shared" si="52"/>
        <v>3583107410.1660242</v>
      </c>
    </row>
    <row r="445" spans="1:9" ht="15" customHeight="1" x14ac:dyDescent="0.2">
      <c r="H445" s="3">
        <f>+H443+UM!H445</f>
        <v>-535620.21000000031</v>
      </c>
      <c r="I445" s="4">
        <f>+I443+UM!I445</f>
        <v>-7711372999.9259806</v>
      </c>
    </row>
    <row r="446" spans="1:9" ht="15" customHeight="1" x14ac:dyDescent="0.2">
      <c r="H446" s="3">
        <f>RINCIAN!J775</f>
        <v>-321737.65999999997</v>
      </c>
      <c r="I446" s="4">
        <f>RINCIAN!K775</f>
        <v>-4568994559.3299999</v>
      </c>
    </row>
    <row r="447" spans="1:9" ht="15" customHeight="1" x14ac:dyDescent="0.2">
      <c r="F447" s="17"/>
      <c r="H447" s="3">
        <f>H445-H446</f>
        <v>-213882.55000000034</v>
      </c>
      <c r="I447" s="3">
        <f>I445-I446</f>
        <v>-3142378440.5959806</v>
      </c>
    </row>
    <row r="448" spans="1:9" ht="15" customHeight="1" x14ac:dyDescent="0.2">
      <c r="F448" s="17"/>
    </row>
    <row r="449" spans="1:9" s="232" customFormat="1" ht="15" customHeight="1" x14ac:dyDescent="0.2">
      <c r="A449" s="231">
        <v>45273</v>
      </c>
      <c r="C449" s="232" t="s">
        <v>81</v>
      </c>
      <c r="D449" s="16">
        <v>66628.23</v>
      </c>
      <c r="E449" s="188">
        <v>1032604308.54</v>
      </c>
      <c r="F449" s="16"/>
      <c r="G449" s="188"/>
      <c r="H449" s="16">
        <f>+H443+D449-F449</f>
        <v>280905.57999999932</v>
      </c>
      <c r="I449" s="188">
        <f>+I443+E449-G449</f>
        <v>4615711718.7060242</v>
      </c>
    </row>
    <row r="450" spans="1:9" s="232" customFormat="1" ht="15" customHeight="1" x14ac:dyDescent="0.2">
      <c r="A450" s="231">
        <v>45273</v>
      </c>
      <c r="C450" s="232" t="s">
        <v>452</v>
      </c>
      <c r="D450" s="16">
        <v>68706</v>
      </c>
      <c r="E450" s="188">
        <v>1073943486</v>
      </c>
      <c r="F450" s="16"/>
      <c r="G450" s="188"/>
      <c r="H450" s="16">
        <f>+H449+D450-F450</f>
        <v>349611.57999999932</v>
      </c>
      <c r="I450" s="188">
        <f>+I449+E450-G450</f>
        <v>5689655204.7060242</v>
      </c>
    </row>
    <row r="451" spans="1:9" s="232" customFormat="1" ht="15" customHeight="1" x14ac:dyDescent="0.2">
      <c r="A451" s="231">
        <v>45278</v>
      </c>
      <c r="B451" s="231"/>
      <c r="C451" s="232" t="s">
        <v>40</v>
      </c>
      <c r="D451" s="16">
        <v>122509.27</v>
      </c>
      <c r="E451" s="188">
        <v>1898648666.46</v>
      </c>
      <c r="F451" s="16"/>
      <c r="G451" s="188"/>
      <c r="H451" s="16">
        <f>+H450+D451-F451</f>
        <v>472120.84999999934</v>
      </c>
      <c r="I451" s="188">
        <f>+I450+E451-G451</f>
        <v>7588303871.1660242</v>
      </c>
    </row>
    <row r="452" spans="1:9" s="232" customFormat="1" ht="15" customHeight="1" x14ac:dyDescent="0.2">
      <c r="A452" s="231">
        <v>45281</v>
      </c>
      <c r="B452" s="231"/>
      <c r="C452" s="232" t="s">
        <v>326</v>
      </c>
      <c r="D452" s="16">
        <v>66280.240000000005</v>
      </c>
      <c r="E452" s="188">
        <v>1032248457.76</v>
      </c>
      <c r="F452" s="16"/>
      <c r="G452" s="188"/>
      <c r="H452" s="16">
        <f t="shared" ref="H452:H467" si="53">+H451+D452-F452</f>
        <v>538401.08999999939</v>
      </c>
      <c r="I452" s="188">
        <f t="shared" ref="I452:I467" si="54">+I451+E452-G452</f>
        <v>8620552328.9260235</v>
      </c>
    </row>
    <row r="453" spans="1:9" s="258" customFormat="1" ht="15" customHeight="1" x14ac:dyDescent="0.2">
      <c r="A453" s="257">
        <v>45287</v>
      </c>
      <c r="B453" s="257"/>
      <c r="C453" s="258" t="s">
        <v>40</v>
      </c>
      <c r="D453" s="161">
        <v>180335.92</v>
      </c>
      <c r="E453" s="259">
        <v>2797370791.04</v>
      </c>
      <c r="F453" s="161"/>
      <c r="G453" s="259"/>
      <c r="H453" s="161">
        <f t="shared" si="53"/>
        <v>718737.00999999943</v>
      </c>
      <c r="I453" s="259">
        <f t="shared" si="54"/>
        <v>11417923119.966022</v>
      </c>
    </row>
    <row r="454" spans="1:9" s="232" customFormat="1" ht="15" customHeight="1" x14ac:dyDescent="0.2">
      <c r="A454" s="231">
        <v>45266</v>
      </c>
      <c r="B454" s="231"/>
      <c r="C454" s="232" t="s">
        <v>446</v>
      </c>
      <c r="D454" s="16"/>
      <c r="E454" s="188"/>
      <c r="F454" s="16">
        <v>44092.53</v>
      </c>
      <c r="G454" s="188">
        <v>683610585.12</v>
      </c>
      <c r="H454" s="16">
        <f t="shared" si="53"/>
        <v>674644.4799999994</v>
      </c>
      <c r="I454" s="188">
        <f t="shared" si="54"/>
        <v>10734312534.846022</v>
      </c>
    </row>
    <row r="455" spans="1:9" s="232" customFormat="1" ht="15" customHeight="1" x14ac:dyDescent="0.2">
      <c r="A455" s="231">
        <v>45266</v>
      </c>
      <c r="B455" s="231"/>
      <c r="C455" s="232" t="s">
        <v>17</v>
      </c>
      <c r="D455" s="16"/>
      <c r="E455" s="188"/>
      <c r="F455" s="16">
        <v>5</v>
      </c>
      <c r="G455" s="188">
        <v>77520</v>
      </c>
      <c r="H455" s="16">
        <f t="shared" si="53"/>
        <v>674639.4799999994</v>
      </c>
      <c r="I455" s="188">
        <f t="shared" si="54"/>
        <v>10734235014.846022</v>
      </c>
    </row>
    <row r="456" spans="1:9" s="232" customFormat="1" ht="15" customHeight="1" x14ac:dyDescent="0.2">
      <c r="A456" s="231">
        <v>45266</v>
      </c>
      <c r="C456" s="232" t="s">
        <v>255</v>
      </c>
      <c r="D456" s="160"/>
      <c r="E456" s="242"/>
      <c r="F456" s="149">
        <v>22530.7</v>
      </c>
      <c r="G456" s="248">
        <v>349023073.69999999</v>
      </c>
      <c r="H456" s="16">
        <f t="shared" si="53"/>
        <v>652108.77999999945</v>
      </c>
      <c r="I456" s="188">
        <f t="shared" si="54"/>
        <v>10385211941.146021</v>
      </c>
    </row>
    <row r="457" spans="1:9" s="232" customFormat="1" ht="15" customHeight="1" x14ac:dyDescent="0.2">
      <c r="A457" s="231">
        <v>45273</v>
      </c>
      <c r="B457" s="231"/>
      <c r="C457" s="232" t="s">
        <v>255</v>
      </c>
      <c r="D457" s="16"/>
      <c r="E457" s="188"/>
      <c r="F457" s="20">
        <v>68706</v>
      </c>
      <c r="G457" s="188">
        <v>1013138676</v>
      </c>
      <c r="H457" s="16">
        <f t="shared" ref="H457:H458" si="55">+H456+D457-F457</f>
        <v>583402.77999999945</v>
      </c>
      <c r="I457" s="188">
        <f t="shared" ref="I457:I458" si="56">+I456+E457-G457</f>
        <v>9372073265.1460209</v>
      </c>
    </row>
    <row r="458" spans="1:9" s="232" customFormat="1" ht="15" customHeight="1" x14ac:dyDescent="0.2">
      <c r="A458" s="231">
        <v>45278</v>
      </c>
      <c r="B458" s="231"/>
      <c r="C458" s="232" t="s">
        <v>447</v>
      </c>
      <c r="D458" s="16"/>
      <c r="E458" s="188"/>
      <c r="F458" s="16">
        <v>98521.67</v>
      </c>
      <c r="G458" s="188">
        <v>1527381450.01</v>
      </c>
      <c r="H458" s="16">
        <f t="shared" si="55"/>
        <v>484881.10999999946</v>
      </c>
      <c r="I458" s="188">
        <f t="shared" si="56"/>
        <v>7844691815.1360207</v>
      </c>
    </row>
    <row r="459" spans="1:9" s="232" customFormat="1" ht="15" customHeight="1" x14ac:dyDescent="0.2">
      <c r="A459" s="231">
        <v>45278</v>
      </c>
      <c r="B459" s="231"/>
      <c r="C459" s="232" t="s">
        <v>17</v>
      </c>
      <c r="D459" s="16"/>
      <c r="E459" s="188"/>
      <c r="F459" s="16">
        <v>30</v>
      </c>
      <c r="G459" s="188">
        <v>465090</v>
      </c>
      <c r="H459" s="16">
        <f t="shared" si="53"/>
        <v>484851.10999999946</v>
      </c>
      <c r="I459" s="188">
        <f t="shared" si="54"/>
        <v>7844226725.1360207</v>
      </c>
    </row>
    <row r="460" spans="1:9" s="232" customFormat="1" ht="15" customHeight="1" x14ac:dyDescent="0.2">
      <c r="A460" s="231">
        <v>45278</v>
      </c>
      <c r="C460" s="232" t="s">
        <v>255</v>
      </c>
      <c r="D460" s="16"/>
      <c r="E460" s="188"/>
      <c r="F460" s="16">
        <v>13957.6</v>
      </c>
      <c r="G460" s="188">
        <v>217738560</v>
      </c>
      <c r="H460" s="16">
        <f t="shared" si="53"/>
        <v>470893.50999999949</v>
      </c>
      <c r="I460" s="188">
        <f t="shared" si="54"/>
        <v>7626488165.1360207</v>
      </c>
    </row>
    <row r="461" spans="1:9" s="232" customFormat="1" ht="15" customHeight="1" x14ac:dyDescent="0.2">
      <c r="A461" s="231">
        <v>45278</v>
      </c>
      <c r="C461" s="232" t="s">
        <v>255</v>
      </c>
      <c r="D461" s="16"/>
      <c r="E461" s="188"/>
      <c r="F461" s="16">
        <v>10000</v>
      </c>
      <c r="G461" s="188">
        <v>149294746.94</v>
      </c>
      <c r="H461" s="16">
        <f t="shared" si="53"/>
        <v>460893.50999999949</v>
      </c>
      <c r="I461" s="188">
        <f t="shared" si="54"/>
        <v>7477193418.1960211</v>
      </c>
    </row>
    <row r="462" spans="1:9" s="232" customFormat="1" ht="15" customHeight="1" x14ac:dyDescent="0.2">
      <c r="A462" s="231">
        <v>45280</v>
      </c>
      <c r="B462" s="231"/>
      <c r="C462" s="232" t="s">
        <v>448</v>
      </c>
      <c r="D462" s="16"/>
      <c r="E462" s="188"/>
      <c r="F462" s="16">
        <v>48052.04</v>
      </c>
      <c r="G462" s="188">
        <v>745094932.24000001</v>
      </c>
      <c r="H462" s="16">
        <f t="shared" si="53"/>
        <v>412841.46999999951</v>
      </c>
      <c r="I462" s="188">
        <f t="shared" si="54"/>
        <v>6732098485.9560213</v>
      </c>
    </row>
    <row r="463" spans="1:9" s="232" customFormat="1" ht="15" customHeight="1" x14ac:dyDescent="0.2">
      <c r="A463" s="231">
        <v>45280</v>
      </c>
      <c r="B463" s="231"/>
      <c r="C463" s="232" t="s">
        <v>17</v>
      </c>
      <c r="D463" s="16"/>
      <c r="E463" s="188"/>
      <c r="F463" s="16">
        <v>5</v>
      </c>
      <c r="G463" s="188">
        <v>77530</v>
      </c>
      <c r="H463" s="16">
        <f t="shared" si="53"/>
        <v>412836.46999999951</v>
      </c>
      <c r="I463" s="188">
        <f t="shared" si="54"/>
        <v>6732020955.9560213</v>
      </c>
    </row>
    <row r="464" spans="1:9" s="232" customFormat="1" ht="15" customHeight="1" x14ac:dyDescent="0.2">
      <c r="A464" s="231">
        <v>45280</v>
      </c>
      <c r="C464" s="232" t="s">
        <v>255</v>
      </c>
      <c r="D464" s="16"/>
      <c r="E464" s="188"/>
      <c r="F464" s="16">
        <v>18223.2</v>
      </c>
      <c r="G464" s="188">
        <v>282933403.19999999</v>
      </c>
      <c r="H464" s="16">
        <f t="shared" si="53"/>
        <v>394613.26999999949</v>
      </c>
      <c r="I464" s="188">
        <f t="shared" si="54"/>
        <v>6449087552.7560215</v>
      </c>
    </row>
    <row r="465" spans="1:9" s="258" customFormat="1" ht="15" customHeight="1" x14ac:dyDescent="0.2">
      <c r="A465" s="257">
        <v>45281</v>
      </c>
      <c r="B465" s="257"/>
      <c r="C465" s="258" t="s">
        <v>449</v>
      </c>
      <c r="D465" s="161"/>
      <c r="E465" s="259"/>
      <c r="F465" s="161">
        <v>99840.87</v>
      </c>
      <c r="G465" s="259">
        <v>1548731575.4400001</v>
      </c>
      <c r="H465" s="161">
        <f t="shared" si="53"/>
        <v>294772.3999999995</v>
      </c>
      <c r="I465" s="259">
        <f t="shared" si="54"/>
        <v>4900355977.316021</v>
      </c>
    </row>
    <row r="466" spans="1:9" s="258" customFormat="1" ht="15" customHeight="1" x14ac:dyDescent="0.2">
      <c r="A466" s="257">
        <v>45281</v>
      </c>
      <c r="B466" s="257"/>
      <c r="C466" s="258" t="s">
        <v>17</v>
      </c>
      <c r="D466" s="161"/>
      <c r="E466" s="259"/>
      <c r="F466" s="161">
        <v>30</v>
      </c>
      <c r="G466" s="259">
        <v>465360</v>
      </c>
      <c r="H466" s="161">
        <f t="shared" si="53"/>
        <v>294742.3999999995</v>
      </c>
      <c r="I466" s="259">
        <f t="shared" si="54"/>
        <v>4899890617.316021</v>
      </c>
    </row>
    <row r="467" spans="1:9" s="258" customFormat="1" ht="15" customHeight="1" x14ac:dyDescent="0.2">
      <c r="A467" s="257">
        <v>45281</v>
      </c>
      <c r="C467" s="258" t="s">
        <v>255</v>
      </c>
      <c r="D467" s="161"/>
      <c r="E467" s="259"/>
      <c r="F467" s="161">
        <v>30000</v>
      </c>
      <c r="G467" s="259">
        <v>447884240.82999998</v>
      </c>
      <c r="H467" s="161">
        <f t="shared" si="53"/>
        <v>264742.3999999995</v>
      </c>
      <c r="I467" s="259">
        <f t="shared" si="54"/>
        <v>4452006376.486021</v>
      </c>
    </row>
    <row r="468" spans="1:9" s="232" customFormat="1" ht="15" customHeight="1" x14ac:dyDescent="0.2">
      <c r="A468" s="231">
        <v>45291</v>
      </c>
      <c r="B468" s="2"/>
      <c r="C468" s="232" t="s">
        <v>18</v>
      </c>
      <c r="D468" s="16"/>
      <c r="E468" s="188"/>
      <c r="F468" s="16"/>
      <c r="G468" s="188">
        <f>25280300.73+50285828.8+10518981.2+833543.25</f>
        <v>86918653.980000004</v>
      </c>
      <c r="H468" s="237">
        <f>+H467+D468-F468</f>
        <v>264742.3999999995</v>
      </c>
      <c r="I468" s="238">
        <f>+I467+E468-G468</f>
        <v>4365087722.5060215</v>
      </c>
    </row>
    <row r="471" spans="1:9" ht="15" customHeight="1" x14ac:dyDescent="0.2">
      <c r="H471" s="3">
        <f>+H468+UM!H453</f>
        <v>-321737.66000000021</v>
      </c>
      <c r="I471" s="4">
        <f>+I468+UM!I453</f>
        <v>-4469379986.9125423</v>
      </c>
    </row>
    <row r="472" spans="1:9" ht="15" customHeight="1" x14ac:dyDescent="0.2">
      <c r="H472" s="3">
        <f>RINCIAN!J775</f>
        <v>-321737.65999999997</v>
      </c>
      <c r="I472" s="4">
        <f>RINCIAN!K775</f>
        <v>-4568994559.3299999</v>
      </c>
    </row>
    <row r="473" spans="1:9" ht="15" customHeight="1" x14ac:dyDescent="0.2">
      <c r="H473" s="3">
        <f>H471-H472</f>
        <v>0</v>
      </c>
      <c r="I473" s="4">
        <f>I471-I472</f>
        <v>99614572.417457581</v>
      </c>
    </row>
    <row r="475" spans="1:9" ht="15" customHeight="1" x14ac:dyDescent="0.2">
      <c r="H475" s="3">
        <f>H468+H471</f>
        <v>-56995.260000000708</v>
      </c>
      <c r="I475" s="4">
        <v>99614572.420000002</v>
      </c>
    </row>
    <row r="477" spans="1:9" ht="15" customHeight="1" x14ac:dyDescent="0.2">
      <c r="I477" s="4">
        <f>I475-I473</f>
        <v>2.5424212217330933E-3</v>
      </c>
    </row>
  </sheetData>
  <autoFilter ref="A5:I468" xr:uid="{00000000-0001-0000-0000-000000000000}">
    <filterColumn colId="3" showButton="0"/>
    <filterColumn colId="5" showButton="0"/>
    <filterColumn colId="7" showButton="0"/>
  </autoFilter>
  <sortState xmlns:xlrd2="http://schemas.microsoft.com/office/spreadsheetml/2017/richdata2" ref="A367:J383">
    <sortCondition ref="A367"/>
  </sortState>
  <mergeCells count="3">
    <mergeCell ref="H5:I5"/>
    <mergeCell ref="F5:G5"/>
    <mergeCell ref="D5:E5"/>
  </mergeCells>
  <printOptions horizontalCentered="1"/>
  <pageMargins left="0.5" right="0.5" top="0.5" bottom="0.5" header="0.5" footer="0.5"/>
  <pageSetup paperSize="9" scale="84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7"/>
  <sheetViews>
    <sheetView topLeftCell="A5" zoomScaleNormal="100" workbookViewId="0">
      <pane ySplit="1" topLeftCell="A229" activePane="bottomLeft" state="frozen"/>
      <selection activeCell="A5" sqref="A5"/>
      <selection pane="bottomLeft" activeCell="D242" sqref="D242"/>
    </sheetView>
  </sheetViews>
  <sheetFormatPr defaultRowHeight="15" customHeight="1" x14ac:dyDescent="0.2"/>
  <cols>
    <col min="1" max="1" width="12.7109375" style="2" customWidth="1"/>
    <col min="2" max="2" width="12.7109375" style="1" hidden="1" customWidth="1"/>
    <col min="3" max="3" width="40.7109375" style="1" customWidth="1"/>
    <col min="4" max="4" width="15.7109375" style="3" customWidth="1"/>
    <col min="5" max="5" width="20.7109375" style="4" customWidth="1"/>
    <col min="6" max="6" width="15.7109375" style="3" customWidth="1"/>
    <col min="7" max="7" width="20.7109375" style="4" customWidth="1"/>
    <col min="8" max="8" width="15.7109375" style="3" customWidth="1"/>
    <col min="9" max="9" width="20.7109375" style="4" customWidth="1"/>
    <col min="10" max="10" width="21.140625" style="1" customWidth="1"/>
    <col min="11" max="11" width="15.5703125" style="3" bestFit="1" customWidth="1"/>
    <col min="12" max="12" width="16" style="4" bestFit="1" customWidth="1"/>
    <col min="13" max="14" width="9.140625" style="1"/>
    <col min="15" max="15" width="11" style="1" bestFit="1" customWidth="1"/>
    <col min="16" max="16384" width="9.140625" style="1"/>
  </cols>
  <sheetData>
    <row r="1" spans="1:16" ht="15" customHeight="1" x14ac:dyDescent="0.2">
      <c r="A1" s="5" t="s">
        <v>0</v>
      </c>
    </row>
    <row r="2" spans="1:16" ht="15" customHeight="1" x14ac:dyDescent="0.2">
      <c r="A2" s="5" t="s">
        <v>10</v>
      </c>
    </row>
    <row r="3" spans="1:16" ht="15" customHeight="1" x14ac:dyDescent="0.2">
      <c r="A3" s="5" t="s">
        <v>2</v>
      </c>
    </row>
    <row r="5" spans="1:16" ht="15" customHeight="1" x14ac:dyDescent="0.2">
      <c r="A5" s="9" t="s">
        <v>3</v>
      </c>
      <c r="B5" s="8" t="s">
        <v>4</v>
      </c>
      <c r="C5" s="8" t="s">
        <v>5</v>
      </c>
      <c r="D5" s="229" t="s">
        <v>6</v>
      </c>
      <c r="E5" s="229"/>
      <c r="F5" s="229" t="s">
        <v>7</v>
      </c>
      <c r="G5" s="229"/>
      <c r="H5" s="229" t="s">
        <v>8</v>
      </c>
      <c r="I5" s="229"/>
    </row>
    <row r="6" spans="1:16" ht="15" customHeight="1" x14ac:dyDescent="0.2">
      <c r="C6" s="1" t="s">
        <v>13</v>
      </c>
      <c r="H6" s="3">
        <v>-423811.9</v>
      </c>
      <c r="I6" s="4">
        <v>-6076262370.1999969</v>
      </c>
      <c r="J6" s="1" t="s">
        <v>22</v>
      </c>
      <c r="K6" s="3">
        <f>106620-95135.48</f>
        <v>11484.520000000004</v>
      </c>
      <c r="L6" s="4">
        <f>1545244726.2-1378799462.99</f>
        <v>166445263.21000004</v>
      </c>
    </row>
    <row r="7" spans="1:16" ht="15" customHeight="1" x14ac:dyDescent="0.2">
      <c r="A7" s="2">
        <v>44566</v>
      </c>
      <c r="C7" s="35" t="s">
        <v>77</v>
      </c>
      <c r="D7" s="36">
        <f>25000</f>
        <v>25000</v>
      </c>
      <c r="E7" s="4">
        <f>356800000</f>
        <v>356800000</v>
      </c>
      <c r="H7" s="3">
        <f>+H6+D7-F7</f>
        <v>-398811.9</v>
      </c>
      <c r="I7" s="4">
        <f>+I6+E7-G7</f>
        <v>-5719462370.1999969</v>
      </c>
      <c r="J7" s="1" t="s">
        <v>23</v>
      </c>
      <c r="K7" s="3">
        <f>231473.8-25000-25000-8000-25000-16400-25000-25000-25000-8000-24536.9-24536.9</f>
        <v>0</v>
      </c>
      <c r="L7" s="4">
        <f>3303020237.6-356800000-356800000-356800000-356800000-234060800-356800000-356800000-356800000-114176000-350190636.8-106992800.8</f>
        <v>0</v>
      </c>
    </row>
    <row r="8" spans="1:16" ht="15" customHeight="1" x14ac:dyDescent="0.2">
      <c r="A8" s="2">
        <v>44572</v>
      </c>
      <c r="C8" s="35" t="s">
        <v>77</v>
      </c>
      <c r="D8" s="36">
        <f>25000</f>
        <v>25000</v>
      </c>
      <c r="E8" s="4">
        <f>356800000</f>
        <v>356800000</v>
      </c>
      <c r="H8" s="3">
        <f t="shared" ref="H8:H72" si="0">+H7+D8-F8</f>
        <v>-373811.9</v>
      </c>
      <c r="I8" s="4">
        <f t="shared" ref="I8:I72" si="1">+I7+E8-G8</f>
        <v>-5362662370.1999969</v>
      </c>
    </row>
    <row r="9" spans="1:16" ht="15" customHeight="1" x14ac:dyDescent="0.2">
      <c r="A9" s="2">
        <v>44581</v>
      </c>
      <c r="C9" s="1" t="s">
        <v>27</v>
      </c>
      <c r="F9" s="15">
        <v>17000</v>
      </c>
      <c r="G9" s="4">
        <v>244290000</v>
      </c>
      <c r="H9" s="3">
        <f t="shared" si="0"/>
        <v>-390811.9</v>
      </c>
      <c r="I9" s="4">
        <f t="shared" si="1"/>
        <v>-5606952370.1999969</v>
      </c>
      <c r="J9" s="1" t="s">
        <v>24</v>
      </c>
      <c r="K9" s="3">
        <f>68424-17420-17420-17420-16164</f>
        <v>0</v>
      </c>
      <c r="L9" s="4">
        <f>979239072-248757600-248757600-249802800-231921072</f>
        <v>0</v>
      </c>
    </row>
    <row r="10" spans="1:16" ht="15" customHeight="1" x14ac:dyDescent="0.2">
      <c r="A10" s="2">
        <v>44581</v>
      </c>
      <c r="C10" s="1" t="s">
        <v>83</v>
      </c>
      <c r="F10" s="41">
        <v>130693.7</v>
      </c>
      <c r="G10" s="4">
        <v>1878068469</v>
      </c>
      <c r="H10" s="3">
        <f t="shared" ref="H10:H11" si="2">+H9+D10-F10</f>
        <v>-521505.60000000003</v>
      </c>
      <c r="I10" s="4">
        <f t="shared" ref="I10:I11" si="3">+I9+E10-G10</f>
        <v>-7485020839.1999969</v>
      </c>
    </row>
    <row r="11" spans="1:16" ht="15" customHeight="1" x14ac:dyDescent="0.2">
      <c r="A11" s="2">
        <v>44581</v>
      </c>
      <c r="C11" s="1" t="s">
        <v>21</v>
      </c>
      <c r="F11" s="41">
        <v>25</v>
      </c>
      <c r="G11" s="4">
        <v>359250</v>
      </c>
      <c r="H11" s="3">
        <f t="shared" si="2"/>
        <v>-521530.60000000003</v>
      </c>
      <c r="I11" s="4">
        <f t="shared" si="3"/>
        <v>-7485380089.1999969</v>
      </c>
      <c r="J11" s="1" t="s">
        <v>25</v>
      </c>
      <c r="K11" s="3">
        <f>17294.1-17294.1</f>
        <v>0</v>
      </c>
      <c r="L11" s="4">
        <f>248758334.4-248758334.4</f>
        <v>0</v>
      </c>
    </row>
    <row r="12" spans="1:16" ht="15" customHeight="1" x14ac:dyDescent="0.2">
      <c r="A12" s="2">
        <v>44582</v>
      </c>
      <c r="C12" s="1" t="s">
        <v>63</v>
      </c>
      <c r="F12" s="3">
        <v>14958</v>
      </c>
      <c r="G12" s="4">
        <v>214707132</v>
      </c>
      <c r="H12" s="3">
        <f t="shared" si="0"/>
        <v>-536488.60000000009</v>
      </c>
      <c r="I12" s="4">
        <f t="shared" si="1"/>
        <v>-7700087221.1999969</v>
      </c>
    </row>
    <row r="13" spans="1:16" ht="15" customHeight="1" x14ac:dyDescent="0.2">
      <c r="A13" s="2">
        <v>44582</v>
      </c>
      <c r="C13" s="1" t="s">
        <v>21</v>
      </c>
      <c r="F13" s="3">
        <v>42</v>
      </c>
      <c r="G13" s="4">
        <v>602868</v>
      </c>
      <c r="H13" s="3">
        <f t="shared" si="0"/>
        <v>-536530.60000000009</v>
      </c>
      <c r="I13" s="4">
        <f t="shared" si="1"/>
        <v>-7700690089.1999969</v>
      </c>
      <c r="K13" s="3">
        <f>SUM(K6:K11)</f>
        <v>11484.520000000004</v>
      </c>
      <c r="L13" s="4">
        <f>SUM(L6:L11)</f>
        <v>166445263.21000004</v>
      </c>
    </row>
    <row r="14" spans="1:16" ht="15" customHeight="1" x14ac:dyDescent="0.2">
      <c r="A14" s="2">
        <v>44588</v>
      </c>
      <c r="C14" s="1" t="s">
        <v>26</v>
      </c>
      <c r="F14" s="3">
        <v>65478</v>
      </c>
      <c r="G14" s="4">
        <v>939347388</v>
      </c>
      <c r="H14" s="3">
        <f t="shared" si="0"/>
        <v>-602008.60000000009</v>
      </c>
      <c r="I14" s="4">
        <f t="shared" si="1"/>
        <v>-8640037477.1999969</v>
      </c>
      <c r="J14" s="3">
        <f>65520-18060-4900-9800</f>
        <v>32760</v>
      </c>
      <c r="K14" s="4">
        <f>939949920-259088760-210886200</f>
        <v>469974960</v>
      </c>
      <c r="M14" s="1" t="s">
        <v>38</v>
      </c>
      <c r="N14" s="1" t="s">
        <v>39</v>
      </c>
      <c r="O14" s="23">
        <v>16380</v>
      </c>
      <c r="P14" s="1" t="s">
        <v>47</v>
      </c>
    </row>
    <row r="15" spans="1:16" ht="15" customHeight="1" x14ac:dyDescent="0.2">
      <c r="A15" s="2">
        <v>44588</v>
      </c>
      <c r="C15" s="1" t="s">
        <v>21</v>
      </c>
      <c r="F15" s="3">
        <v>42</v>
      </c>
      <c r="G15" s="4">
        <v>602532</v>
      </c>
      <c r="H15" s="3">
        <f t="shared" si="0"/>
        <v>-602050.60000000009</v>
      </c>
      <c r="I15" s="4">
        <f t="shared" si="1"/>
        <v>-8640640009.1999969</v>
      </c>
      <c r="O15" s="27">
        <v>16380</v>
      </c>
      <c r="P15" s="1" t="s">
        <v>50</v>
      </c>
    </row>
    <row r="16" spans="1:16" ht="15" customHeight="1" x14ac:dyDescent="0.2">
      <c r="A16" s="2">
        <v>44588</v>
      </c>
      <c r="C16" s="1" t="s">
        <v>26</v>
      </c>
      <c r="F16" s="14">
        <v>61727.11</v>
      </c>
      <c r="G16" s="4">
        <v>885537120.06000006</v>
      </c>
      <c r="H16" s="3">
        <f t="shared" si="0"/>
        <v>-663777.71000000008</v>
      </c>
      <c r="I16" s="4">
        <f t="shared" si="1"/>
        <v>-9526177129.2599964</v>
      </c>
      <c r="O16" s="3">
        <v>4900</v>
      </c>
      <c r="P16" s="1" t="s">
        <v>31</v>
      </c>
    </row>
    <row r="17" spans="1:16" ht="15" customHeight="1" x14ac:dyDescent="0.2">
      <c r="A17" s="2">
        <v>44588</v>
      </c>
      <c r="C17" s="1" t="s">
        <v>21</v>
      </c>
      <c r="F17" s="14">
        <v>42</v>
      </c>
      <c r="G17" s="4">
        <v>602532</v>
      </c>
      <c r="H17" s="3">
        <f t="shared" si="0"/>
        <v>-663819.71000000008</v>
      </c>
      <c r="I17" s="4">
        <f t="shared" si="1"/>
        <v>-9526779661.2599964</v>
      </c>
      <c r="O17" s="21">
        <v>11480</v>
      </c>
      <c r="P17" s="1" t="s">
        <v>34</v>
      </c>
    </row>
    <row r="18" spans="1:16" ht="15" customHeight="1" x14ac:dyDescent="0.2">
      <c r="A18" s="2">
        <v>44589</v>
      </c>
      <c r="C18" s="35" t="s">
        <v>77</v>
      </c>
      <c r="D18" s="36">
        <v>8000</v>
      </c>
      <c r="E18" s="4">
        <v>114176000</v>
      </c>
      <c r="F18" s="14"/>
      <c r="H18" s="3">
        <f t="shared" si="0"/>
        <v>-655819.71000000008</v>
      </c>
      <c r="I18" s="4">
        <f t="shared" si="1"/>
        <v>-9412603661.2599964</v>
      </c>
      <c r="O18" s="21"/>
    </row>
    <row r="19" spans="1:16" ht="15" customHeight="1" x14ac:dyDescent="0.2">
      <c r="A19" s="2">
        <v>44589</v>
      </c>
      <c r="C19" s="1" t="s">
        <v>46</v>
      </c>
      <c r="D19" s="15">
        <v>17000</v>
      </c>
      <c r="E19" s="4">
        <v>244290000</v>
      </c>
      <c r="F19" s="14"/>
      <c r="H19" s="6">
        <f t="shared" si="0"/>
        <v>-638819.71000000008</v>
      </c>
      <c r="I19" s="7">
        <f t="shared" si="1"/>
        <v>-9168313661.2599964</v>
      </c>
      <c r="O19" s="21"/>
    </row>
    <row r="20" spans="1:16" ht="15" customHeight="1" x14ac:dyDescent="0.2">
      <c r="A20" s="2">
        <v>44594</v>
      </c>
      <c r="C20" s="1" t="s">
        <v>30</v>
      </c>
      <c r="D20" s="14">
        <v>79189.11</v>
      </c>
      <c r="E20" s="4">
        <v>1134897252.0599999</v>
      </c>
      <c r="H20" s="3">
        <f t="shared" si="0"/>
        <v>-559630.60000000009</v>
      </c>
      <c r="I20" s="4">
        <f t="shared" si="1"/>
        <v>-8033416409.1999969</v>
      </c>
      <c r="O20" s="3">
        <v>9800</v>
      </c>
      <c r="P20" s="1" t="s">
        <v>31</v>
      </c>
    </row>
    <row r="21" spans="1:16" ht="15" customHeight="1" x14ac:dyDescent="0.35">
      <c r="A21" s="2">
        <v>44601</v>
      </c>
      <c r="C21" s="1" t="s">
        <v>29</v>
      </c>
      <c r="D21" s="3">
        <v>17294.099999999999</v>
      </c>
      <c r="E21" s="4">
        <v>248758334.40000001</v>
      </c>
      <c r="H21" s="3">
        <f t="shared" si="0"/>
        <v>-542336.50000000012</v>
      </c>
      <c r="I21" s="4">
        <f t="shared" si="1"/>
        <v>-7784658074.7999973</v>
      </c>
      <c r="O21" s="22">
        <v>6580</v>
      </c>
      <c r="P21" s="1" t="s">
        <v>34</v>
      </c>
    </row>
    <row r="22" spans="1:16" ht="15" customHeight="1" x14ac:dyDescent="0.2">
      <c r="A22" s="37">
        <v>44607</v>
      </c>
      <c r="B22" s="35"/>
      <c r="C22" s="35" t="s">
        <v>77</v>
      </c>
      <c r="D22" s="36">
        <v>25000</v>
      </c>
      <c r="E22" s="4">
        <v>356800000</v>
      </c>
      <c r="H22" s="3">
        <f t="shared" si="0"/>
        <v>-517336.50000000012</v>
      </c>
      <c r="I22" s="4">
        <f t="shared" si="1"/>
        <v>-7427858074.7999973</v>
      </c>
      <c r="O22" s="19">
        <f>SUM(O14:O21)</f>
        <v>65520</v>
      </c>
    </row>
    <row r="23" spans="1:16" ht="15" customHeight="1" x14ac:dyDescent="0.2">
      <c r="A23" s="2">
        <v>44608</v>
      </c>
      <c r="C23" s="1" t="s">
        <v>30</v>
      </c>
      <c r="D23" s="3">
        <v>17420</v>
      </c>
      <c r="E23" s="4">
        <v>248757600</v>
      </c>
      <c r="H23" s="3">
        <f t="shared" si="0"/>
        <v>-499916.50000000012</v>
      </c>
      <c r="I23" s="4">
        <f t="shared" si="1"/>
        <v>-7179100474.7999973</v>
      </c>
    </row>
    <row r="24" spans="1:16" ht="15" customHeight="1" x14ac:dyDescent="0.2">
      <c r="A24" s="2">
        <v>44608</v>
      </c>
      <c r="C24" s="1" t="s">
        <v>19</v>
      </c>
      <c r="F24" s="16">
        <v>8575.49</v>
      </c>
      <c r="G24" s="4">
        <v>122560903.08</v>
      </c>
      <c r="H24" s="3">
        <f t="shared" si="0"/>
        <v>-508491.99000000011</v>
      </c>
      <c r="I24" s="4">
        <f t="shared" si="1"/>
        <v>-7301661377.8799973</v>
      </c>
      <c r="M24" s="1" t="s">
        <v>44</v>
      </c>
      <c r="N24" s="1" t="s">
        <v>27</v>
      </c>
      <c r="O24" s="3">
        <v>17000</v>
      </c>
    </row>
    <row r="25" spans="1:16" ht="15" customHeight="1" x14ac:dyDescent="0.2">
      <c r="A25" s="2">
        <v>44609</v>
      </c>
      <c r="C25" s="1" t="s">
        <v>26</v>
      </c>
      <c r="F25" s="18">
        <v>67914.37</v>
      </c>
      <c r="G25" s="4">
        <v>969681374.86000001</v>
      </c>
      <c r="H25" s="3">
        <f t="shared" si="0"/>
        <v>-576406.3600000001</v>
      </c>
      <c r="I25" s="4">
        <f t="shared" si="1"/>
        <v>-8271342752.7399969</v>
      </c>
      <c r="O25" s="3">
        <v>30000</v>
      </c>
    </row>
    <row r="26" spans="1:16" ht="15" customHeight="1" x14ac:dyDescent="0.2">
      <c r="A26" s="2">
        <v>44609</v>
      </c>
      <c r="C26" s="1" t="s">
        <v>21</v>
      </c>
      <c r="F26" s="18">
        <v>42</v>
      </c>
      <c r="G26" s="4">
        <v>599676</v>
      </c>
      <c r="H26" s="3">
        <f t="shared" si="0"/>
        <v>-576448.3600000001</v>
      </c>
      <c r="I26" s="4">
        <f t="shared" si="1"/>
        <v>-8271942428.7399969</v>
      </c>
      <c r="O26" s="3">
        <v>30000</v>
      </c>
    </row>
    <row r="27" spans="1:16" ht="15" customHeight="1" x14ac:dyDescent="0.2">
      <c r="A27" s="2">
        <v>44614</v>
      </c>
      <c r="C27" s="35" t="s">
        <v>78</v>
      </c>
      <c r="D27" s="36">
        <v>16400</v>
      </c>
      <c r="E27" s="38">
        <v>234060800</v>
      </c>
      <c r="H27" s="3">
        <f t="shared" si="0"/>
        <v>-560048.3600000001</v>
      </c>
      <c r="I27" s="4">
        <f t="shared" si="1"/>
        <v>-8037881628.7399969</v>
      </c>
      <c r="O27" s="3">
        <v>30000</v>
      </c>
    </row>
    <row r="28" spans="1:16" ht="15" customHeight="1" x14ac:dyDescent="0.2">
      <c r="A28" s="2">
        <v>44616</v>
      </c>
      <c r="C28" s="1" t="s">
        <v>69</v>
      </c>
      <c r="F28" s="33">
        <v>66338</v>
      </c>
      <c r="G28" s="4">
        <v>952282653.38</v>
      </c>
      <c r="H28" s="3">
        <f t="shared" si="0"/>
        <v>-626386.3600000001</v>
      </c>
      <c r="I28" s="4">
        <f t="shared" si="1"/>
        <v>-8990164282.119997</v>
      </c>
    </row>
    <row r="29" spans="1:16" ht="15" customHeight="1" x14ac:dyDescent="0.2">
      <c r="A29" s="2">
        <v>44616</v>
      </c>
      <c r="C29" s="1" t="s">
        <v>21</v>
      </c>
      <c r="F29" s="33">
        <v>30</v>
      </c>
      <c r="G29" s="4">
        <v>430650.3</v>
      </c>
      <c r="H29" s="3">
        <f t="shared" si="0"/>
        <v>-626416.3600000001</v>
      </c>
      <c r="I29" s="4">
        <f t="shared" si="1"/>
        <v>-8990594932.4199963</v>
      </c>
    </row>
    <row r="30" spans="1:16" ht="15" customHeight="1" x14ac:dyDescent="0.2">
      <c r="A30" s="37">
        <v>44618</v>
      </c>
      <c r="B30" s="35"/>
      <c r="C30" s="35" t="s">
        <v>77</v>
      </c>
      <c r="D30" s="36">
        <v>25000</v>
      </c>
      <c r="E30" s="4">
        <v>356800000</v>
      </c>
      <c r="H30" s="3">
        <f t="shared" si="0"/>
        <v>-601416.3600000001</v>
      </c>
      <c r="I30" s="4">
        <f t="shared" si="1"/>
        <v>-8633794932.4199963</v>
      </c>
    </row>
    <row r="31" spans="1:16" ht="15" customHeight="1" x14ac:dyDescent="0.2">
      <c r="A31" s="2">
        <v>44620</v>
      </c>
      <c r="C31" s="1" t="s">
        <v>26</v>
      </c>
      <c r="F31" s="16">
        <v>59102.26</v>
      </c>
      <c r="G31" s="4">
        <v>849359169.48000002</v>
      </c>
      <c r="H31" s="3">
        <f t="shared" si="0"/>
        <v>-660518.62000000011</v>
      </c>
      <c r="I31" s="4">
        <f t="shared" si="1"/>
        <v>-9483154101.8999958</v>
      </c>
    </row>
    <row r="32" spans="1:16" ht="15" customHeight="1" x14ac:dyDescent="0.2">
      <c r="A32" s="2">
        <v>44620</v>
      </c>
      <c r="C32" s="1" t="s">
        <v>21</v>
      </c>
      <c r="F32" s="16">
        <v>42</v>
      </c>
      <c r="G32" s="4">
        <v>603582.42000000004</v>
      </c>
      <c r="H32" s="6">
        <f t="shared" si="0"/>
        <v>-660560.62000000011</v>
      </c>
      <c r="I32" s="7">
        <f t="shared" si="1"/>
        <v>-9483757684.3199959</v>
      </c>
    </row>
    <row r="33" spans="1:12" ht="15" customHeight="1" x14ac:dyDescent="0.2">
      <c r="A33" s="2">
        <v>44622</v>
      </c>
      <c r="C33" s="1" t="s">
        <v>30</v>
      </c>
      <c r="D33" s="18">
        <f>17420+67956.37</f>
        <v>85376.37</v>
      </c>
      <c r="E33" s="4">
        <v>1220083850.8599999</v>
      </c>
      <c r="H33" s="3">
        <f t="shared" si="0"/>
        <v>-575184.25000000012</v>
      </c>
      <c r="I33" s="4">
        <f t="shared" si="1"/>
        <v>-8263673833.4599962</v>
      </c>
    </row>
    <row r="34" spans="1:12" ht="15" customHeight="1" x14ac:dyDescent="0.2">
      <c r="A34" s="2">
        <v>44622</v>
      </c>
      <c r="C34" s="1" t="s">
        <v>30</v>
      </c>
      <c r="D34" s="20">
        <v>82419.75</v>
      </c>
      <c r="E34" s="4">
        <f>972523654.98+210886200</f>
        <v>1183409854.98</v>
      </c>
      <c r="H34" s="3">
        <f t="shared" si="0"/>
        <v>-492764.50000000012</v>
      </c>
      <c r="I34" s="4">
        <f t="shared" si="1"/>
        <v>-7080263978.4799957</v>
      </c>
    </row>
    <row r="35" spans="1:12" ht="15" customHeight="1" x14ac:dyDescent="0.2">
      <c r="A35" s="2">
        <v>44625</v>
      </c>
      <c r="C35" s="1" t="s">
        <v>127</v>
      </c>
      <c r="F35" s="3">
        <v>66338</v>
      </c>
      <c r="G35" s="4">
        <v>953476737.38</v>
      </c>
      <c r="H35" s="3">
        <f t="shared" si="0"/>
        <v>-559102.50000000012</v>
      </c>
      <c r="I35" s="4">
        <f t="shared" si="1"/>
        <v>-8033740715.8599958</v>
      </c>
      <c r="J35" s="1" t="s">
        <v>68</v>
      </c>
      <c r="K35" s="3">
        <f>66338+30-13408</f>
        <v>52960</v>
      </c>
      <c r="L35" s="4">
        <f>953476737.38+431190.3-192713318.08</f>
        <v>761194609.5999999</v>
      </c>
    </row>
    <row r="36" spans="1:12" ht="15" customHeight="1" x14ac:dyDescent="0.2">
      <c r="A36" s="2">
        <v>44625</v>
      </c>
      <c r="C36" s="1" t="s">
        <v>21</v>
      </c>
      <c r="F36" s="3">
        <v>30</v>
      </c>
      <c r="G36" s="4">
        <v>431190.3</v>
      </c>
      <c r="H36" s="3">
        <f t="shared" si="0"/>
        <v>-559132.50000000012</v>
      </c>
      <c r="I36" s="4">
        <f t="shared" si="1"/>
        <v>-8034171906.159996</v>
      </c>
    </row>
    <row r="37" spans="1:12" ht="15" customHeight="1" x14ac:dyDescent="0.2">
      <c r="A37" s="2">
        <v>44628</v>
      </c>
      <c r="C37" s="1" t="s">
        <v>28</v>
      </c>
      <c r="F37" s="30">
        <v>114958</v>
      </c>
      <c r="G37" s="4">
        <v>1656660887.5799999</v>
      </c>
      <c r="H37" s="3">
        <f t="shared" si="0"/>
        <v>-674090.50000000012</v>
      </c>
      <c r="I37" s="4">
        <f t="shared" si="1"/>
        <v>-9690832793.739996</v>
      </c>
    </row>
    <row r="38" spans="1:12" ht="15" customHeight="1" x14ac:dyDescent="0.2">
      <c r="A38" s="2">
        <v>44628</v>
      </c>
      <c r="C38" s="1" t="s">
        <v>21</v>
      </c>
      <c r="F38" s="30">
        <v>42</v>
      </c>
      <c r="G38" s="4">
        <v>605262.42000000004</v>
      </c>
      <c r="H38" s="3">
        <f t="shared" si="0"/>
        <v>-674132.50000000012</v>
      </c>
      <c r="I38" s="4">
        <f t="shared" si="1"/>
        <v>-9691438056.159996</v>
      </c>
    </row>
    <row r="39" spans="1:12" ht="15" customHeight="1" x14ac:dyDescent="0.2">
      <c r="A39" s="2">
        <v>44629</v>
      </c>
      <c r="C39" s="1" t="s">
        <v>36</v>
      </c>
      <c r="D39" s="21">
        <v>18060</v>
      </c>
      <c r="E39" s="4">
        <v>259088760</v>
      </c>
      <c r="H39" s="3">
        <f t="shared" si="0"/>
        <v>-656072.50000000012</v>
      </c>
      <c r="I39" s="4">
        <f t="shared" si="1"/>
        <v>-9432349296.159996</v>
      </c>
    </row>
    <row r="40" spans="1:12" ht="15" customHeight="1" x14ac:dyDescent="0.2">
      <c r="A40" s="2">
        <v>44629</v>
      </c>
      <c r="C40" s="1" t="s">
        <v>26</v>
      </c>
      <c r="F40" s="27">
        <v>5694.63</v>
      </c>
      <c r="G40" s="4">
        <v>81968504.219999999</v>
      </c>
      <c r="H40" s="3">
        <f t="shared" si="0"/>
        <v>-661767.13000000012</v>
      </c>
      <c r="I40" s="4">
        <f t="shared" si="1"/>
        <v>-9514317800.3799953</v>
      </c>
    </row>
    <row r="41" spans="1:12" ht="15" customHeight="1" x14ac:dyDescent="0.2">
      <c r="A41" s="2">
        <v>44630</v>
      </c>
      <c r="C41" s="1" t="s">
        <v>35</v>
      </c>
      <c r="F41" s="3">
        <v>267993</v>
      </c>
      <c r="G41" s="4">
        <v>3851330082.9299998</v>
      </c>
      <c r="H41" s="3">
        <f t="shared" si="0"/>
        <v>-929760.13000000012</v>
      </c>
      <c r="I41" s="4">
        <f t="shared" si="1"/>
        <v>-13365647883.309996</v>
      </c>
    </row>
    <row r="42" spans="1:12" ht="15" customHeight="1" x14ac:dyDescent="0.2">
      <c r="A42" s="2">
        <v>44630</v>
      </c>
      <c r="C42" s="1" t="s">
        <v>21</v>
      </c>
      <c r="F42" s="3">
        <v>57</v>
      </c>
      <c r="G42" s="4">
        <v>819147.57000000007</v>
      </c>
      <c r="H42" s="3">
        <f t="shared" si="0"/>
        <v>-929817.13000000012</v>
      </c>
      <c r="I42" s="4">
        <f t="shared" si="1"/>
        <v>-13366467030.879995</v>
      </c>
    </row>
    <row r="43" spans="1:12" ht="15" customHeight="1" x14ac:dyDescent="0.2">
      <c r="A43" s="2">
        <v>44637</v>
      </c>
      <c r="C43" s="1" t="s">
        <v>26</v>
      </c>
      <c r="F43" s="26">
        <v>75161.990000000005</v>
      </c>
      <c r="G43" s="4">
        <v>1075643990.51</v>
      </c>
      <c r="H43" s="3">
        <f t="shared" si="0"/>
        <v>-1004979.1200000001</v>
      </c>
      <c r="I43" s="4">
        <f t="shared" si="1"/>
        <v>-14442111021.389996</v>
      </c>
    </row>
    <row r="44" spans="1:12" ht="15" customHeight="1" x14ac:dyDescent="0.2">
      <c r="A44" s="2">
        <v>44637</v>
      </c>
      <c r="C44" s="1" t="s">
        <v>21</v>
      </c>
      <c r="F44" s="26">
        <v>42</v>
      </c>
      <c r="G44" s="4">
        <v>601062.42000000004</v>
      </c>
      <c r="H44" s="3">
        <f t="shared" si="0"/>
        <v>-1005021.1200000001</v>
      </c>
      <c r="I44" s="4">
        <f t="shared" si="1"/>
        <v>-14442712083.809996</v>
      </c>
    </row>
    <row r="45" spans="1:12" ht="15" customHeight="1" x14ac:dyDescent="0.2">
      <c r="A45" s="2">
        <v>44643</v>
      </c>
      <c r="C45" s="1" t="s">
        <v>26</v>
      </c>
      <c r="F45" s="27">
        <v>59108.46</v>
      </c>
      <c r="G45" s="4">
        <v>848679268.67999995</v>
      </c>
      <c r="H45" s="3">
        <f t="shared" si="0"/>
        <v>-1064129.58</v>
      </c>
      <c r="I45" s="4">
        <f t="shared" si="1"/>
        <v>-15291391352.489996</v>
      </c>
    </row>
    <row r="46" spans="1:12" ht="15" customHeight="1" x14ac:dyDescent="0.2">
      <c r="A46" s="2">
        <v>44643</v>
      </c>
      <c r="C46" s="1" t="s">
        <v>21</v>
      </c>
      <c r="F46" s="27">
        <v>42</v>
      </c>
      <c r="G46" s="4">
        <v>603036</v>
      </c>
      <c r="H46" s="3">
        <f t="shared" si="0"/>
        <v>-1064171.58</v>
      </c>
      <c r="I46" s="4">
        <f t="shared" si="1"/>
        <v>-15291994388.489996</v>
      </c>
    </row>
    <row r="47" spans="1:12" ht="15" customHeight="1" x14ac:dyDescent="0.2">
      <c r="A47" s="2">
        <v>44644</v>
      </c>
      <c r="C47" s="1" t="s">
        <v>26</v>
      </c>
      <c r="F47" s="27">
        <v>9963</v>
      </c>
      <c r="G47" s="4">
        <v>142979112.63</v>
      </c>
      <c r="H47" s="3">
        <f t="shared" si="0"/>
        <v>-1074134.58</v>
      </c>
      <c r="I47" s="4">
        <f t="shared" si="1"/>
        <v>-15434973501.119995</v>
      </c>
    </row>
    <row r="48" spans="1:12" ht="15" customHeight="1" x14ac:dyDescent="0.2">
      <c r="A48" s="2">
        <v>44644</v>
      </c>
      <c r="C48" s="1" t="s">
        <v>21</v>
      </c>
      <c r="F48" s="27">
        <v>37</v>
      </c>
      <c r="G48" s="4">
        <v>530987.37</v>
      </c>
      <c r="H48" s="3">
        <f t="shared" si="0"/>
        <v>-1074171.58</v>
      </c>
      <c r="I48" s="4">
        <f t="shared" si="1"/>
        <v>-15435504488.489996</v>
      </c>
    </row>
    <row r="49" spans="1:9" ht="15" customHeight="1" x14ac:dyDescent="0.2">
      <c r="A49" s="2">
        <v>44645</v>
      </c>
      <c r="C49" s="1" t="s">
        <v>26</v>
      </c>
      <c r="F49" s="26">
        <v>71033.94</v>
      </c>
      <c r="G49" s="4">
        <v>1020119122.6799999</v>
      </c>
      <c r="H49" s="3">
        <f t="shared" si="0"/>
        <v>-1145205.52</v>
      </c>
      <c r="I49" s="4">
        <f t="shared" si="1"/>
        <v>-16455623611.169996</v>
      </c>
    </row>
    <row r="50" spans="1:9" ht="15" customHeight="1" x14ac:dyDescent="0.2">
      <c r="A50" s="2">
        <v>44645</v>
      </c>
      <c r="C50" s="1" t="s">
        <v>21</v>
      </c>
      <c r="F50" s="26">
        <v>42</v>
      </c>
      <c r="G50" s="4">
        <v>603162.42000000004</v>
      </c>
      <c r="H50" s="3">
        <f t="shared" si="0"/>
        <v>-1145247.52</v>
      </c>
      <c r="I50" s="4">
        <f t="shared" si="1"/>
        <v>-16456226773.589996</v>
      </c>
    </row>
    <row r="51" spans="1:9" ht="15" customHeight="1" x14ac:dyDescent="0.2">
      <c r="A51" s="2">
        <v>44649</v>
      </c>
      <c r="C51" s="1" t="s">
        <v>37</v>
      </c>
      <c r="F51" s="14">
        <v>450654.48</v>
      </c>
      <c r="G51" s="4">
        <v>6471398332.8000002</v>
      </c>
      <c r="H51" s="3">
        <f t="shared" si="0"/>
        <v>-1595902</v>
      </c>
      <c r="I51" s="4">
        <f t="shared" si="1"/>
        <v>-22927625106.389996</v>
      </c>
    </row>
    <row r="52" spans="1:9" ht="15" customHeight="1" x14ac:dyDescent="0.2">
      <c r="A52" s="2">
        <v>44649</v>
      </c>
      <c r="C52" s="1" t="s">
        <v>21</v>
      </c>
      <c r="F52" s="14">
        <v>20</v>
      </c>
      <c r="G52" s="4">
        <v>287200</v>
      </c>
      <c r="H52" s="3">
        <f t="shared" si="0"/>
        <v>-1595922</v>
      </c>
      <c r="I52" s="4">
        <f t="shared" si="1"/>
        <v>-22927912306.389996</v>
      </c>
    </row>
    <row r="53" spans="1:9" ht="15" customHeight="1" x14ac:dyDescent="0.2">
      <c r="A53" s="2">
        <v>44651</v>
      </c>
      <c r="C53" s="1" t="s">
        <v>27</v>
      </c>
      <c r="F53" s="29">
        <v>17609</v>
      </c>
      <c r="G53" s="4">
        <v>252671717.09</v>
      </c>
      <c r="H53" s="3">
        <f t="shared" si="0"/>
        <v>-1613531</v>
      </c>
      <c r="I53" s="4">
        <f t="shared" si="1"/>
        <v>-23180584023.479996</v>
      </c>
    </row>
    <row r="54" spans="1:9" ht="15" customHeight="1" x14ac:dyDescent="0.2">
      <c r="A54" s="2">
        <v>44651</v>
      </c>
      <c r="C54" s="1" t="s">
        <v>21</v>
      </c>
      <c r="F54" s="29">
        <v>15</v>
      </c>
      <c r="G54" s="4">
        <v>215235.15</v>
      </c>
      <c r="H54" s="3">
        <f t="shared" si="0"/>
        <v>-1613546</v>
      </c>
      <c r="I54" s="4">
        <f t="shared" si="1"/>
        <v>-23180799258.629997</v>
      </c>
    </row>
    <row r="55" spans="1:9" ht="15" customHeight="1" x14ac:dyDescent="0.2">
      <c r="A55" s="2">
        <v>44651</v>
      </c>
      <c r="C55" s="1" t="s">
        <v>67</v>
      </c>
      <c r="F55" s="34">
        <v>17609</v>
      </c>
      <c r="G55" s="4">
        <v>252671717.09</v>
      </c>
      <c r="H55" s="3">
        <f t="shared" si="0"/>
        <v>-1631155</v>
      </c>
      <c r="I55" s="4">
        <f t="shared" si="1"/>
        <v>-23433470975.719997</v>
      </c>
    </row>
    <row r="56" spans="1:9" ht="15" customHeight="1" x14ac:dyDescent="0.2">
      <c r="A56" s="2">
        <v>44651</v>
      </c>
      <c r="C56" s="1" t="s">
        <v>21</v>
      </c>
      <c r="F56" s="34">
        <v>15</v>
      </c>
      <c r="G56" s="4">
        <v>215235.15</v>
      </c>
      <c r="H56" s="6">
        <f t="shared" si="0"/>
        <v>-1631170</v>
      </c>
      <c r="I56" s="7">
        <f t="shared" si="1"/>
        <v>-23433686210.869999</v>
      </c>
    </row>
    <row r="57" spans="1:9" ht="15" customHeight="1" x14ac:dyDescent="0.2">
      <c r="A57" s="2">
        <v>44657</v>
      </c>
      <c r="C57" s="1" t="s">
        <v>49</v>
      </c>
      <c r="D57" s="26">
        <f>16164+71033.94+42</f>
        <v>87239.94</v>
      </c>
      <c r="E57" s="4">
        <f>231921072+1020119122.68+603162.42</f>
        <v>1252643357.0999999</v>
      </c>
      <c r="H57" s="3">
        <f t="shared" si="0"/>
        <v>-1543930.06</v>
      </c>
      <c r="I57" s="4">
        <f t="shared" si="1"/>
        <v>-22181042853.77</v>
      </c>
    </row>
    <row r="58" spans="1:9" ht="15" customHeight="1" x14ac:dyDescent="0.2">
      <c r="A58" s="2">
        <v>44657</v>
      </c>
      <c r="C58" s="1" t="s">
        <v>30</v>
      </c>
      <c r="D58" s="27">
        <v>91225.09</v>
      </c>
      <c r="E58" s="4">
        <v>1309748388.9000001</v>
      </c>
      <c r="H58" s="3">
        <f t="shared" si="0"/>
        <v>-1452704.97</v>
      </c>
      <c r="I58" s="4">
        <f t="shared" si="1"/>
        <v>-20871294464.869999</v>
      </c>
    </row>
    <row r="59" spans="1:9" ht="15" customHeight="1" x14ac:dyDescent="0.2">
      <c r="A59" s="2">
        <v>44658</v>
      </c>
      <c r="C59" s="1" t="s">
        <v>48</v>
      </c>
      <c r="D59" s="26">
        <f>16380+75161.99+42</f>
        <v>91583.99</v>
      </c>
      <c r="E59" s="4">
        <f>234987480+1075643990.51+601062.42</f>
        <v>1311232532.9300001</v>
      </c>
      <c r="H59" s="3">
        <f t="shared" si="0"/>
        <v>-1361120.98</v>
      </c>
      <c r="I59" s="4">
        <f t="shared" si="1"/>
        <v>-19560061931.939999</v>
      </c>
    </row>
    <row r="60" spans="1:9" ht="15" customHeight="1" x14ac:dyDescent="0.2">
      <c r="A60" s="37">
        <v>44658</v>
      </c>
      <c r="B60" s="35"/>
      <c r="C60" s="35" t="s">
        <v>77</v>
      </c>
      <c r="D60" s="36">
        <v>25000</v>
      </c>
      <c r="E60" s="4">
        <v>356800000</v>
      </c>
      <c r="H60" s="3">
        <f t="shared" si="0"/>
        <v>-1336120.98</v>
      </c>
      <c r="I60" s="4">
        <f t="shared" si="1"/>
        <v>-19203261931.939999</v>
      </c>
    </row>
    <row r="61" spans="1:9" ht="15" customHeight="1" x14ac:dyDescent="0.2">
      <c r="A61" s="2">
        <v>44664</v>
      </c>
      <c r="C61" s="1" t="s">
        <v>62</v>
      </c>
      <c r="D61" s="14">
        <v>450674.48</v>
      </c>
      <c r="E61" s="4">
        <v>6471685532.8000002</v>
      </c>
      <c r="H61" s="3">
        <f t="shared" si="0"/>
        <v>-885446.5</v>
      </c>
      <c r="I61" s="4">
        <f t="shared" si="1"/>
        <v>-12731576399.139999</v>
      </c>
    </row>
    <row r="62" spans="1:9" ht="15" customHeight="1" x14ac:dyDescent="0.2">
      <c r="A62" s="2">
        <v>44665</v>
      </c>
      <c r="C62" s="1" t="s">
        <v>26</v>
      </c>
      <c r="F62" s="29">
        <v>55890</v>
      </c>
      <c r="G62" s="4">
        <v>802525068.89999998</v>
      </c>
      <c r="H62" s="3">
        <f t="shared" si="0"/>
        <v>-941336.5</v>
      </c>
      <c r="I62" s="4">
        <f t="shared" si="1"/>
        <v>-13534101468.039999</v>
      </c>
    </row>
    <row r="63" spans="1:9" ht="15" customHeight="1" x14ac:dyDescent="0.2">
      <c r="A63" s="2">
        <v>44665</v>
      </c>
      <c r="C63" s="1" t="s">
        <v>21</v>
      </c>
      <c r="F63" s="29">
        <v>42</v>
      </c>
      <c r="G63" s="4">
        <v>603078.42000000004</v>
      </c>
      <c r="H63" s="3">
        <f t="shared" si="0"/>
        <v>-941378.5</v>
      </c>
      <c r="I63" s="4">
        <f t="shared" si="1"/>
        <v>-13534704546.459999</v>
      </c>
    </row>
    <row r="64" spans="1:9" ht="15" customHeight="1" x14ac:dyDescent="0.2">
      <c r="A64" s="2">
        <v>44665</v>
      </c>
      <c r="C64" s="1" t="s">
        <v>60</v>
      </c>
      <c r="D64" s="3">
        <v>95135.48</v>
      </c>
      <c r="E64" s="4">
        <v>1378799462.99</v>
      </c>
      <c r="F64" s="29"/>
      <c r="H64" s="3">
        <f t="shared" si="0"/>
        <v>-846243.02</v>
      </c>
      <c r="I64" s="4">
        <f t="shared" si="1"/>
        <v>-12155905083.469999</v>
      </c>
    </row>
    <row r="65" spans="1:9" ht="15" customHeight="1" x14ac:dyDescent="0.2">
      <c r="A65" s="2">
        <v>44666</v>
      </c>
      <c r="C65" s="1" t="s">
        <v>26</v>
      </c>
      <c r="F65" s="28">
        <v>37246</v>
      </c>
      <c r="G65" s="4">
        <v>534815686.45999998</v>
      </c>
      <c r="H65" s="3">
        <f t="shared" si="0"/>
        <v>-883489.02</v>
      </c>
      <c r="I65" s="4">
        <f t="shared" si="1"/>
        <v>-12690720769.929998</v>
      </c>
    </row>
    <row r="66" spans="1:9" ht="15" customHeight="1" x14ac:dyDescent="0.2">
      <c r="A66" s="2">
        <v>44666</v>
      </c>
      <c r="C66" s="1" t="s">
        <v>21</v>
      </c>
      <c r="F66" s="28">
        <v>42</v>
      </c>
      <c r="G66" s="4">
        <v>603078.42000000004</v>
      </c>
      <c r="H66" s="3">
        <f t="shared" si="0"/>
        <v>-883531.02</v>
      </c>
      <c r="I66" s="4">
        <f t="shared" si="1"/>
        <v>-12691323848.349998</v>
      </c>
    </row>
    <row r="67" spans="1:9" ht="15" customHeight="1" x14ac:dyDescent="0.2">
      <c r="A67" s="2">
        <v>44671</v>
      </c>
      <c r="C67" s="1" t="s">
        <v>70</v>
      </c>
      <c r="D67" s="33">
        <v>49776</v>
      </c>
      <c r="E67" s="4">
        <v>714534977.75999999</v>
      </c>
      <c r="H67" s="3">
        <f t="shared" si="0"/>
        <v>-833755.02</v>
      </c>
      <c r="I67" s="4">
        <f t="shared" si="1"/>
        <v>-11976788870.589998</v>
      </c>
    </row>
    <row r="68" spans="1:9" ht="15" customHeight="1" x14ac:dyDescent="0.2">
      <c r="A68" s="2">
        <v>44672</v>
      </c>
      <c r="C68" s="1" t="s">
        <v>26</v>
      </c>
      <c r="F68" s="3">
        <v>37246</v>
      </c>
      <c r="G68" s="4">
        <v>534517718.45999998</v>
      </c>
      <c r="H68" s="3">
        <f t="shared" si="0"/>
        <v>-871001.02</v>
      </c>
      <c r="I68" s="4">
        <f t="shared" si="1"/>
        <v>-12511306589.049997</v>
      </c>
    </row>
    <row r="69" spans="1:9" ht="15" customHeight="1" x14ac:dyDescent="0.2">
      <c r="A69" s="2">
        <v>44672</v>
      </c>
      <c r="C69" s="1" t="s">
        <v>21</v>
      </c>
      <c r="F69" s="3">
        <v>42</v>
      </c>
      <c r="G69" s="4">
        <v>602742.42000000004</v>
      </c>
      <c r="H69" s="3">
        <f t="shared" si="0"/>
        <v>-871043.02</v>
      </c>
      <c r="I69" s="4">
        <f t="shared" si="1"/>
        <v>-12511909331.469997</v>
      </c>
    </row>
    <row r="70" spans="1:9" ht="15" customHeight="1" x14ac:dyDescent="0.2">
      <c r="A70" s="2">
        <v>44676</v>
      </c>
      <c r="C70" s="1" t="s">
        <v>61</v>
      </c>
      <c r="D70" s="30">
        <f>115000+5000</f>
        <v>120000</v>
      </c>
      <c r="E70" s="4">
        <f>1657266150+71770000</f>
        <v>1729036150</v>
      </c>
      <c r="H70" s="3">
        <f t="shared" si="0"/>
        <v>-751043.02</v>
      </c>
      <c r="I70" s="4">
        <f t="shared" si="1"/>
        <v>-10782873181.469997</v>
      </c>
    </row>
    <row r="71" spans="1:9" ht="15" customHeight="1" x14ac:dyDescent="0.2">
      <c r="A71" s="2">
        <v>44680</v>
      </c>
      <c r="C71" s="1" t="s">
        <v>26</v>
      </c>
      <c r="F71" s="16">
        <v>19710</v>
      </c>
      <c r="G71" s="4">
        <v>284178780</v>
      </c>
      <c r="H71" s="3">
        <f t="shared" si="0"/>
        <v>-770753.02</v>
      </c>
      <c r="I71" s="4">
        <f t="shared" si="1"/>
        <v>-11067051961.469997</v>
      </c>
    </row>
    <row r="72" spans="1:9" ht="15" customHeight="1" x14ac:dyDescent="0.2">
      <c r="A72" s="2">
        <v>44680</v>
      </c>
      <c r="C72" s="1" t="s">
        <v>21</v>
      </c>
      <c r="F72" s="16">
        <v>42</v>
      </c>
      <c r="G72" s="4">
        <v>605556</v>
      </c>
      <c r="H72" s="6">
        <f t="shared" si="0"/>
        <v>-770795.02</v>
      </c>
      <c r="I72" s="7">
        <f t="shared" si="1"/>
        <v>-11067657517.469997</v>
      </c>
    </row>
    <row r="73" spans="1:9" ht="15" customHeight="1" x14ac:dyDescent="0.2">
      <c r="A73" s="2">
        <v>44686</v>
      </c>
      <c r="C73" s="1" t="s">
        <v>26</v>
      </c>
      <c r="F73" s="16">
        <v>19710</v>
      </c>
      <c r="G73" s="4">
        <v>284178780</v>
      </c>
      <c r="H73" s="3">
        <f t="shared" ref="H73:H137" si="4">+H72+D73-F73</f>
        <v>-790505.02</v>
      </c>
      <c r="I73" s="4">
        <f t="shared" ref="I73:I137" si="5">+I72+E73-G73</f>
        <v>-11351836297.469997</v>
      </c>
    </row>
    <row r="74" spans="1:9" ht="15" customHeight="1" x14ac:dyDescent="0.2">
      <c r="A74" s="2">
        <v>44686</v>
      </c>
      <c r="C74" s="1" t="s">
        <v>21</v>
      </c>
      <c r="F74" s="16">
        <v>42</v>
      </c>
      <c r="G74" s="4">
        <v>605556</v>
      </c>
      <c r="H74" s="3">
        <f t="shared" si="4"/>
        <v>-790547.02</v>
      </c>
      <c r="I74" s="4">
        <f t="shared" si="5"/>
        <v>-11352441853.469997</v>
      </c>
    </row>
    <row r="75" spans="1:9" ht="15" customHeight="1" x14ac:dyDescent="0.2">
      <c r="A75" s="2">
        <v>44686</v>
      </c>
      <c r="C75" s="1" t="s">
        <v>51</v>
      </c>
      <c r="F75" s="26">
        <v>138115.48000000001</v>
      </c>
      <c r="G75" s="47">
        <v>1991348990.6400001</v>
      </c>
      <c r="H75" s="3">
        <f t="shared" si="4"/>
        <v>-928662.5</v>
      </c>
      <c r="I75" s="4">
        <f t="shared" si="5"/>
        <v>-13343790844.109997</v>
      </c>
    </row>
    <row r="76" spans="1:9" ht="15" customHeight="1" x14ac:dyDescent="0.2">
      <c r="A76" s="2">
        <v>44686</v>
      </c>
      <c r="C76" s="1" t="s">
        <v>17</v>
      </c>
      <c r="F76" s="26">
        <v>40</v>
      </c>
      <c r="G76" s="47">
        <v>576720</v>
      </c>
      <c r="H76" s="3">
        <f t="shared" si="4"/>
        <v>-928702.5</v>
      </c>
      <c r="I76" s="4">
        <f t="shared" si="5"/>
        <v>-13344367564.109997</v>
      </c>
    </row>
    <row r="77" spans="1:9" ht="15" customHeight="1" x14ac:dyDescent="0.2">
      <c r="A77" s="2">
        <v>44701</v>
      </c>
      <c r="C77" s="1" t="s">
        <v>45</v>
      </c>
      <c r="D77" s="41">
        <v>30000</v>
      </c>
      <c r="E77" s="4">
        <v>431100000</v>
      </c>
      <c r="H77" s="6">
        <f t="shared" si="4"/>
        <v>-898702.5</v>
      </c>
      <c r="I77" s="7">
        <f t="shared" si="5"/>
        <v>-12913267564.109997</v>
      </c>
    </row>
    <row r="78" spans="1:9" ht="15" customHeight="1" x14ac:dyDescent="0.2">
      <c r="A78" s="2">
        <v>44720</v>
      </c>
      <c r="C78" s="1" t="s">
        <v>45</v>
      </c>
      <c r="D78" s="41">
        <v>30000</v>
      </c>
      <c r="E78" s="4">
        <v>431100000</v>
      </c>
      <c r="H78" s="3">
        <f t="shared" si="4"/>
        <v>-868702.5</v>
      </c>
      <c r="I78" s="4">
        <f t="shared" si="5"/>
        <v>-12482167564.109997</v>
      </c>
    </row>
    <row r="79" spans="1:9" ht="15" customHeight="1" x14ac:dyDescent="0.2">
      <c r="A79" s="2">
        <v>44721</v>
      </c>
      <c r="C79" s="1" t="s">
        <v>52</v>
      </c>
      <c r="D79" s="28">
        <v>18644</v>
      </c>
      <c r="E79" s="4">
        <v>267709382.44</v>
      </c>
      <c r="H79" s="3">
        <f t="shared" si="4"/>
        <v>-850058.5</v>
      </c>
      <c r="I79" s="4">
        <f t="shared" si="5"/>
        <v>-12214458181.669996</v>
      </c>
    </row>
    <row r="80" spans="1:9" ht="15" customHeight="1" x14ac:dyDescent="0.2">
      <c r="A80" s="2">
        <v>44722</v>
      </c>
      <c r="C80" s="1" t="s">
        <v>53</v>
      </c>
      <c r="F80" s="16">
        <v>29231</v>
      </c>
      <c r="G80" s="4">
        <v>425457497.31</v>
      </c>
      <c r="H80" s="3">
        <f t="shared" si="4"/>
        <v>-879289.5</v>
      </c>
      <c r="I80" s="4">
        <f t="shared" si="5"/>
        <v>-12639915678.979996</v>
      </c>
    </row>
    <row r="81" spans="1:9" ht="15" customHeight="1" x14ac:dyDescent="0.2">
      <c r="A81" s="2">
        <v>44722</v>
      </c>
      <c r="C81" s="1" t="s">
        <v>17</v>
      </c>
      <c r="F81" s="16">
        <v>17</v>
      </c>
      <c r="G81" s="4">
        <v>247435.17</v>
      </c>
      <c r="H81" s="3">
        <f t="shared" si="4"/>
        <v>-879306.5</v>
      </c>
      <c r="I81" s="4">
        <f t="shared" si="5"/>
        <v>-12640163114.149996</v>
      </c>
    </row>
    <row r="82" spans="1:9" ht="15" customHeight="1" x14ac:dyDescent="0.2">
      <c r="A82" s="2">
        <v>44725</v>
      </c>
      <c r="C82" s="1" t="s">
        <v>54</v>
      </c>
      <c r="F82" s="41">
        <v>157107</v>
      </c>
      <c r="G82" s="4">
        <v>2288893454.0700002</v>
      </c>
      <c r="H82" s="3">
        <f t="shared" si="4"/>
        <v>-1036413.5</v>
      </c>
      <c r="I82" s="4">
        <f t="shared" si="5"/>
        <v>-14929056568.219995</v>
      </c>
    </row>
    <row r="83" spans="1:9" ht="15" customHeight="1" x14ac:dyDescent="0.2">
      <c r="A83" s="2">
        <v>44725</v>
      </c>
      <c r="C83" s="1" t="s">
        <v>17</v>
      </c>
      <c r="F83" s="41">
        <v>17</v>
      </c>
      <c r="G83" s="4">
        <v>247673.17</v>
      </c>
      <c r="H83" s="3">
        <f t="shared" si="4"/>
        <v>-1036430.5</v>
      </c>
      <c r="I83" s="4">
        <f t="shared" si="5"/>
        <v>-14929304241.389996</v>
      </c>
    </row>
    <row r="84" spans="1:9" ht="15" customHeight="1" x14ac:dyDescent="0.2">
      <c r="A84" s="2">
        <v>44727</v>
      </c>
      <c r="C84" s="1" t="s">
        <v>52</v>
      </c>
      <c r="D84" s="28">
        <v>18644</v>
      </c>
      <c r="E84" s="4">
        <v>267709382.44</v>
      </c>
      <c r="H84" s="3">
        <f t="shared" si="4"/>
        <v>-1017786.5</v>
      </c>
      <c r="I84" s="4">
        <f t="shared" si="5"/>
        <v>-14661594858.949995</v>
      </c>
    </row>
    <row r="85" spans="1:9" ht="15" customHeight="1" x14ac:dyDescent="0.2">
      <c r="A85" s="2">
        <v>44727</v>
      </c>
      <c r="C85" s="1" t="s">
        <v>64</v>
      </c>
      <c r="D85" s="29">
        <v>17624</v>
      </c>
      <c r="E85" s="4">
        <v>252886952.24000001</v>
      </c>
      <c r="H85" s="3">
        <f t="shared" si="4"/>
        <v>-1000162.5</v>
      </c>
      <c r="I85" s="4">
        <f t="shared" si="5"/>
        <v>-14408707906.709995</v>
      </c>
    </row>
    <row r="86" spans="1:9" ht="15" customHeight="1" x14ac:dyDescent="0.2">
      <c r="A86" s="2">
        <v>44729</v>
      </c>
      <c r="C86" s="1" t="s">
        <v>56</v>
      </c>
      <c r="F86" s="16">
        <v>27840.6</v>
      </c>
      <c r="G86" s="4">
        <v>410398563.00999999</v>
      </c>
      <c r="H86" s="3">
        <f t="shared" si="4"/>
        <v>-1028003.1</v>
      </c>
      <c r="I86" s="4">
        <f t="shared" si="5"/>
        <v>-14819106469.719995</v>
      </c>
    </row>
    <row r="87" spans="1:9" ht="15" customHeight="1" x14ac:dyDescent="0.2">
      <c r="A87" s="2">
        <v>44729</v>
      </c>
      <c r="C87" s="1" t="s">
        <v>21</v>
      </c>
      <c r="F87" s="16">
        <v>51</v>
      </c>
      <c r="G87" s="4">
        <v>751791.51</v>
      </c>
      <c r="H87" s="3">
        <f t="shared" si="4"/>
        <v>-1028054.1</v>
      </c>
      <c r="I87" s="4">
        <f t="shared" si="5"/>
        <v>-14819858261.229996</v>
      </c>
    </row>
    <row r="88" spans="1:9" ht="15" customHeight="1" x14ac:dyDescent="0.2">
      <c r="A88" s="2">
        <v>44729</v>
      </c>
      <c r="C88" s="1" t="s">
        <v>79</v>
      </c>
      <c r="F88" s="39">
        <v>547259.62</v>
      </c>
      <c r="G88" s="4">
        <v>8067159531.0200005</v>
      </c>
      <c r="H88" s="3">
        <f t="shared" si="4"/>
        <v>-1575313.72</v>
      </c>
      <c r="I88" s="4">
        <f t="shared" si="5"/>
        <v>-22887017792.249996</v>
      </c>
    </row>
    <row r="89" spans="1:9" ht="15" customHeight="1" x14ac:dyDescent="0.2">
      <c r="A89" s="2">
        <v>44729</v>
      </c>
      <c r="C89" s="1" t="s">
        <v>21</v>
      </c>
      <c r="F89" s="39">
        <v>25</v>
      </c>
      <c r="G89" s="4">
        <v>368525.25</v>
      </c>
      <c r="H89" s="3">
        <f t="shared" si="4"/>
        <v>-1575338.72</v>
      </c>
      <c r="I89" s="4">
        <f t="shared" si="5"/>
        <v>-22887386317.499996</v>
      </c>
    </row>
    <row r="90" spans="1:9" ht="15" customHeight="1" x14ac:dyDescent="0.2">
      <c r="A90" s="2">
        <v>44730</v>
      </c>
      <c r="C90" s="1" t="s">
        <v>57</v>
      </c>
      <c r="F90" s="41">
        <v>29198</v>
      </c>
      <c r="G90" s="4">
        <v>430408009.98000002</v>
      </c>
      <c r="H90" s="3">
        <f t="shared" si="4"/>
        <v>-1604536.72</v>
      </c>
      <c r="I90" s="4">
        <f t="shared" si="5"/>
        <v>-23317794327.479996</v>
      </c>
    </row>
    <row r="91" spans="1:9" ht="15" customHeight="1" x14ac:dyDescent="0.2">
      <c r="A91" s="2">
        <v>44730</v>
      </c>
      <c r="C91" s="1" t="s">
        <v>21</v>
      </c>
      <c r="F91" s="41">
        <v>50</v>
      </c>
      <c r="G91" s="4">
        <v>737050.5</v>
      </c>
      <c r="H91" s="3">
        <f t="shared" si="4"/>
        <v>-1604586.72</v>
      </c>
      <c r="I91" s="4">
        <f t="shared" si="5"/>
        <v>-23318531377.979996</v>
      </c>
    </row>
    <row r="92" spans="1:9" ht="15" customHeight="1" x14ac:dyDescent="0.2">
      <c r="A92" s="2">
        <v>44740</v>
      </c>
      <c r="C92" s="1" t="s">
        <v>59</v>
      </c>
      <c r="D92" s="29">
        <v>18644</v>
      </c>
      <c r="E92" s="4">
        <v>267560230.44</v>
      </c>
      <c r="H92" s="3">
        <f t="shared" si="4"/>
        <v>-1585942.72</v>
      </c>
      <c r="I92" s="4">
        <f t="shared" si="5"/>
        <v>-23050971147.539997</v>
      </c>
    </row>
    <row r="93" spans="1:9" ht="15" customHeight="1" x14ac:dyDescent="0.2">
      <c r="A93" s="2">
        <v>44740</v>
      </c>
      <c r="C93" s="1" t="s">
        <v>69</v>
      </c>
      <c r="D93" s="29"/>
      <c r="F93" s="21">
        <v>18732</v>
      </c>
      <c r="G93" s="4">
        <v>277271064</v>
      </c>
      <c r="H93" s="3">
        <f t="shared" si="4"/>
        <v>-1604674.72</v>
      </c>
      <c r="I93" s="4">
        <f t="shared" si="5"/>
        <v>-23328242211.539997</v>
      </c>
    </row>
    <row r="94" spans="1:9" ht="15" customHeight="1" x14ac:dyDescent="0.2">
      <c r="A94" s="2">
        <v>44740</v>
      </c>
      <c r="C94" s="1" t="s">
        <v>128</v>
      </c>
      <c r="F94" s="3">
        <v>37434</v>
      </c>
      <c r="G94" s="4">
        <v>554098068</v>
      </c>
      <c r="H94" s="3">
        <f t="shared" si="4"/>
        <v>-1642108.72</v>
      </c>
      <c r="I94" s="4">
        <f t="shared" si="5"/>
        <v>-23882340279.539997</v>
      </c>
    </row>
    <row r="95" spans="1:9" ht="15" customHeight="1" x14ac:dyDescent="0.2">
      <c r="A95" s="2">
        <v>44740</v>
      </c>
      <c r="C95" s="1" t="s">
        <v>21</v>
      </c>
      <c r="F95" s="3">
        <v>30</v>
      </c>
      <c r="G95" s="4">
        <v>444060</v>
      </c>
      <c r="H95" s="3">
        <f t="shared" si="4"/>
        <v>-1642138.72</v>
      </c>
      <c r="I95" s="4">
        <f t="shared" si="5"/>
        <v>-23882784339.539997</v>
      </c>
    </row>
    <row r="96" spans="1:9" ht="15" customHeight="1" x14ac:dyDescent="0.2">
      <c r="A96" s="37">
        <v>44741</v>
      </c>
      <c r="B96" s="35"/>
      <c r="C96" s="35" t="s">
        <v>77</v>
      </c>
      <c r="D96" s="36">
        <v>25000</v>
      </c>
      <c r="E96" s="38">
        <v>356800000</v>
      </c>
      <c r="H96" s="6">
        <f t="shared" si="4"/>
        <v>-1617138.72</v>
      </c>
      <c r="I96" s="7">
        <f t="shared" si="5"/>
        <v>-23525984339.539997</v>
      </c>
    </row>
    <row r="97" spans="1:9" ht="15" customHeight="1" x14ac:dyDescent="0.2">
      <c r="A97" s="2">
        <v>44743</v>
      </c>
      <c r="C97" s="1" t="s">
        <v>65</v>
      </c>
      <c r="F97" s="34">
        <v>16074</v>
      </c>
      <c r="G97" s="4">
        <v>239213268</v>
      </c>
      <c r="H97" s="3">
        <f t="shared" si="4"/>
        <v>-1633212.72</v>
      </c>
      <c r="I97" s="4">
        <f t="shared" si="5"/>
        <v>-23765197607.539997</v>
      </c>
    </row>
    <row r="98" spans="1:9" ht="15" customHeight="1" x14ac:dyDescent="0.2">
      <c r="A98" s="2">
        <v>44743</v>
      </c>
      <c r="C98" s="1" t="s">
        <v>17</v>
      </c>
      <c r="F98" s="34">
        <v>30</v>
      </c>
      <c r="G98" s="4">
        <v>446460</v>
      </c>
      <c r="H98" s="3">
        <f t="shared" si="4"/>
        <v>-1633242.72</v>
      </c>
      <c r="I98" s="4">
        <f t="shared" si="5"/>
        <v>-23765644067.539997</v>
      </c>
    </row>
    <row r="99" spans="1:9" ht="15" customHeight="1" x14ac:dyDescent="0.2">
      <c r="A99" s="2">
        <v>44760</v>
      </c>
      <c r="C99" s="1" t="s">
        <v>59</v>
      </c>
      <c r="D99" s="29">
        <f>55932-18644</f>
        <v>37288</v>
      </c>
      <c r="E99" s="4">
        <f>803128147.32-267560230.44</f>
        <v>535567916.88000005</v>
      </c>
      <c r="H99" s="3">
        <f t="shared" si="4"/>
        <v>-1595954.72</v>
      </c>
      <c r="I99" s="4">
        <f t="shared" si="5"/>
        <v>-23230076150.659996</v>
      </c>
    </row>
    <row r="100" spans="1:9" ht="15" customHeight="1" x14ac:dyDescent="0.2">
      <c r="A100" s="2">
        <v>44763</v>
      </c>
      <c r="C100" s="1" t="s">
        <v>45</v>
      </c>
      <c r="D100" s="41">
        <v>30000</v>
      </c>
      <c r="E100" s="4">
        <v>431100000</v>
      </c>
      <c r="H100" s="3">
        <f t="shared" si="4"/>
        <v>-1565954.72</v>
      </c>
      <c r="I100" s="4">
        <f t="shared" si="5"/>
        <v>-22798976150.659996</v>
      </c>
    </row>
    <row r="101" spans="1:9" ht="15" customHeight="1" x14ac:dyDescent="0.2">
      <c r="A101" s="2">
        <v>44765</v>
      </c>
      <c r="C101" s="1" t="s">
        <v>75</v>
      </c>
      <c r="F101" s="21">
        <v>52794</v>
      </c>
      <c r="G101" s="4">
        <v>792807498</v>
      </c>
      <c r="H101" s="3">
        <f t="shared" si="4"/>
        <v>-1618748.72</v>
      </c>
      <c r="I101" s="4">
        <f t="shared" si="5"/>
        <v>-23591783648.659996</v>
      </c>
    </row>
    <row r="102" spans="1:9" ht="15" customHeight="1" x14ac:dyDescent="0.2">
      <c r="A102" s="2">
        <v>44765</v>
      </c>
      <c r="C102" s="1" t="s">
        <v>17</v>
      </c>
      <c r="F102" s="21">
        <v>30</v>
      </c>
      <c r="G102" s="4">
        <v>450510</v>
      </c>
      <c r="H102" s="3">
        <f t="shared" si="4"/>
        <v>-1618778.72</v>
      </c>
      <c r="I102" s="4">
        <f t="shared" si="5"/>
        <v>-23592234158.659996</v>
      </c>
    </row>
    <row r="103" spans="1:9" ht="15" customHeight="1" x14ac:dyDescent="0.2">
      <c r="A103" s="2">
        <v>44770</v>
      </c>
      <c r="C103" s="1" t="s">
        <v>69</v>
      </c>
      <c r="F103" s="33">
        <v>116305.15</v>
      </c>
      <c r="G103" s="4">
        <v>1746903353</v>
      </c>
      <c r="H103" s="3">
        <f t="shared" si="4"/>
        <v>-1735083.8699999999</v>
      </c>
      <c r="I103" s="4">
        <f t="shared" si="5"/>
        <v>-25339137511.659996</v>
      </c>
    </row>
    <row r="104" spans="1:9" ht="15" customHeight="1" x14ac:dyDescent="0.2">
      <c r="A104" s="2">
        <v>44770</v>
      </c>
      <c r="C104" s="1" t="s">
        <v>17</v>
      </c>
      <c r="F104" s="33">
        <v>30</v>
      </c>
      <c r="G104" s="4">
        <v>450600</v>
      </c>
      <c r="H104" s="3">
        <f t="shared" si="4"/>
        <v>-1735113.8699999999</v>
      </c>
      <c r="I104" s="4">
        <f t="shared" si="5"/>
        <v>-25339588111.659996</v>
      </c>
    </row>
    <row r="105" spans="1:9" ht="15" customHeight="1" x14ac:dyDescent="0.2">
      <c r="A105" s="2">
        <v>44771</v>
      </c>
      <c r="C105" s="1" t="s">
        <v>58</v>
      </c>
      <c r="D105" s="3">
        <v>18644</v>
      </c>
      <c r="E105" s="4">
        <v>267560230.44</v>
      </c>
      <c r="H105" s="6">
        <f t="shared" si="4"/>
        <v>-1716469.8699999999</v>
      </c>
      <c r="I105" s="7">
        <f t="shared" si="5"/>
        <v>-25072027881.219997</v>
      </c>
    </row>
    <row r="106" spans="1:9" ht="15" customHeight="1" x14ac:dyDescent="0.2">
      <c r="A106" s="2">
        <v>44775</v>
      </c>
      <c r="C106" s="1" t="s">
        <v>73</v>
      </c>
      <c r="F106" s="41">
        <v>17033</v>
      </c>
      <c r="G106" s="4">
        <v>253348842</v>
      </c>
      <c r="H106" s="3">
        <f t="shared" si="4"/>
        <v>-1733502.8699999999</v>
      </c>
      <c r="I106" s="4">
        <f t="shared" si="5"/>
        <v>-25325376723.219997</v>
      </c>
    </row>
    <row r="107" spans="1:9" ht="15" customHeight="1" x14ac:dyDescent="0.2">
      <c r="A107" s="2">
        <v>44775</v>
      </c>
      <c r="C107" s="1" t="s">
        <v>17</v>
      </c>
      <c r="F107" s="41">
        <v>16.3</v>
      </c>
      <c r="G107" s="4">
        <v>242446.2</v>
      </c>
      <c r="H107" s="3">
        <f t="shared" si="4"/>
        <v>-1733519.17</v>
      </c>
      <c r="I107" s="4">
        <f t="shared" si="5"/>
        <v>-25325619169.419998</v>
      </c>
    </row>
    <row r="108" spans="1:9" ht="15" customHeight="1" x14ac:dyDescent="0.2">
      <c r="A108" s="2">
        <v>44777</v>
      </c>
      <c r="C108" s="1" t="s">
        <v>70</v>
      </c>
      <c r="D108" s="33">
        <f>16592</f>
        <v>16592</v>
      </c>
      <c r="E108" s="4">
        <v>238178325.91999999</v>
      </c>
      <c r="H108" s="3">
        <f t="shared" si="4"/>
        <v>-1716927.17</v>
      </c>
      <c r="I108" s="4">
        <f t="shared" si="5"/>
        <v>-25087440843.5</v>
      </c>
    </row>
    <row r="109" spans="1:9" ht="15" customHeight="1" x14ac:dyDescent="0.2">
      <c r="A109" s="2">
        <v>44777</v>
      </c>
      <c r="C109" s="1" t="s">
        <v>72</v>
      </c>
      <c r="D109" s="3">
        <v>13408</v>
      </c>
      <c r="E109" s="4">
        <v>192713318.08000001</v>
      </c>
      <c r="H109" s="3">
        <f t="shared" si="4"/>
        <v>-1703519.17</v>
      </c>
      <c r="I109" s="4">
        <f t="shared" si="5"/>
        <v>-24894727525.419998</v>
      </c>
    </row>
    <row r="110" spans="1:9" ht="15" customHeight="1" x14ac:dyDescent="0.2">
      <c r="A110" s="2">
        <v>44777</v>
      </c>
      <c r="C110" s="1" t="s">
        <v>71</v>
      </c>
      <c r="D110" s="33">
        <v>116335.15</v>
      </c>
      <c r="E110" s="4">
        <f>1746903353+450600</f>
        <v>1747353953</v>
      </c>
      <c r="H110" s="3">
        <f t="shared" si="4"/>
        <v>-1587184.02</v>
      </c>
      <c r="I110" s="4">
        <f t="shared" si="5"/>
        <v>-23147373572.419998</v>
      </c>
    </row>
    <row r="111" spans="1:9" ht="15" customHeight="1" x14ac:dyDescent="0.2">
      <c r="A111" s="2">
        <v>44777</v>
      </c>
      <c r="C111" s="35" t="s">
        <v>77</v>
      </c>
      <c r="D111" s="36">
        <v>8000</v>
      </c>
      <c r="E111" s="4">
        <v>114176000</v>
      </c>
      <c r="H111" s="3">
        <f t="shared" si="4"/>
        <v>-1579184.02</v>
      </c>
      <c r="I111" s="4">
        <f t="shared" si="5"/>
        <v>-23033197572.419998</v>
      </c>
    </row>
    <row r="112" spans="1:9" ht="15" customHeight="1" x14ac:dyDescent="0.2">
      <c r="A112" s="2">
        <v>44778</v>
      </c>
      <c r="C112" s="1" t="s">
        <v>58</v>
      </c>
      <c r="D112" s="3">
        <v>18644</v>
      </c>
      <c r="E112" s="4">
        <v>267560230.44</v>
      </c>
      <c r="H112" s="3">
        <f t="shared" si="4"/>
        <v>-1560540.02</v>
      </c>
      <c r="I112" s="4">
        <f t="shared" si="5"/>
        <v>-22765637341.98</v>
      </c>
    </row>
    <row r="113" spans="1:9" ht="15" customHeight="1" x14ac:dyDescent="0.2">
      <c r="A113" s="2">
        <v>44778</v>
      </c>
      <c r="C113" s="1" t="s">
        <v>66</v>
      </c>
      <c r="D113" s="34">
        <v>16104</v>
      </c>
      <c r="E113" s="4">
        <v>239659728</v>
      </c>
      <c r="H113" s="3">
        <f t="shared" si="4"/>
        <v>-1544436.02</v>
      </c>
      <c r="I113" s="4">
        <f t="shared" si="5"/>
        <v>-22525977613.98</v>
      </c>
    </row>
    <row r="114" spans="1:9" ht="15" customHeight="1" x14ac:dyDescent="0.2">
      <c r="A114" s="2">
        <v>44778</v>
      </c>
      <c r="C114" s="1" t="s">
        <v>64</v>
      </c>
      <c r="D114" s="34">
        <v>17624</v>
      </c>
      <c r="E114" s="4">
        <v>252886952.24000001</v>
      </c>
      <c r="H114" s="3">
        <f t="shared" si="4"/>
        <v>-1526812.02</v>
      </c>
      <c r="I114" s="4">
        <f t="shared" si="5"/>
        <v>-22273090661.739998</v>
      </c>
    </row>
    <row r="115" spans="1:9" ht="15" customHeight="1" x14ac:dyDescent="0.2">
      <c r="A115" s="2">
        <v>44781</v>
      </c>
      <c r="C115" s="1" t="s">
        <v>96</v>
      </c>
      <c r="F115" s="16">
        <v>149339.26</v>
      </c>
      <c r="G115" s="4">
        <v>2225752331.04</v>
      </c>
      <c r="H115" s="3">
        <f t="shared" si="4"/>
        <v>-1676151.28</v>
      </c>
      <c r="I115" s="4">
        <f t="shared" si="5"/>
        <v>-24498842992.779999</v>
      </c>
    </row>
    <row r="116" spans="1:9" ht="15" customHeight="1" x14ac:dyDescent="0.2">
      <c r="A116" s="2">
        <v>44781</v>
      </c>
      <c r="C116" s="1" t="s">
        <v>21</v>
      </c>
      <c r="F116" s="16">
        <v>62</v>
      </c>
      <c r="G116" s="4">
        <v>924048</v>
      </c>
      <c r="H116" s="3">
        <f t="shared" si="4"/>
        <v>-1676213.28</v>
      </c>
      <c r="I116" s="4">
        <f t="shared" si="5"/>
        <v>-24499767040.779999</v>
      </c>
    </row>
    <row r="117" spans="1:9" ht="15" customHeight="1" x14ac:dyDescent="0.2">
      <c r="A117" s="2">
        <v>44783</v>
      </c>
      <c r="C117" s="1" t="s">
        <v>74</v>
      </c>
      <c r="D117" s="21">
        <v>18732</v>
      </c>
      <c r="E117" s="4">
        <v>277271064</v>
      </c>
      <c r="H117" s="3">
        <f t="shared" si="4"/>
        <v>-1657481.28</v>
      </c>
      <c r="I117" s="4">
        <f t="shared" si="5"/>
        <v>-24222495976.779999</v>
      </c>
    </row>
    <row r="118" spans="1:9" ht="15" customHeight="1" x14ac:dyDescent="0.2">
      <c r="A118" s="2">
        <v>44784</v>
      </c>
      <c r="C118" s="1" t="s">
        <v>83</v>
      </c>
      <c r="F118" s="16">
        <v>68000</v>
      </c>
      <c r="G118" s="4">
        <v>1011500680</v>
      </c>
      <c r="H118" s="3">
        <f t="shared" si="4"/>
        <v>-1725481.28</v>
      </c>
      <c r="I118" s="4">
        <f t="shared" si="5"/>
        <v>-25233996656.779999</v>
      </c>
    </row>
    <row r="119" spans="1:9" ht="15" customHeight="1" x14ac:dyDescent="0.2">
      <c r="A119" s="2">
        <v>44784</v>
      </c>
      <c r="C119" s="1" t="s">
        <v>83</v>
      </c>
      <c r="F119" s="41">
        <f>130159.9-68000</f>
        <v>62159.899999999994</v>
      </c>
      <c r="G119" s="4">
        <v>924629134.10000002</v>
      </c>
      <c r="H119" s="3">
        <f t="shared" ref="H119:H120" si="6">+H118+D119-F119</f>
        <v>-1787641.18</v>
      </c>
      <c r="I119" s="4">
        <f t="shared" ref="I119:I120" si="7">+I118+E119-G119</f>
        <v>-26158625790.879997</v>
      </c>
    </row>
    <row r="120" spans="1:9" ht="15" customHeight="1" x14ac:dyDescent="0.2">
      <c r="A120" s="2">
        <v>44784</v>
      </c>
      <c r="C120" s="1" t="s">
        <v>17</v>
      </c>
      <c r="F120" s="41">
        <v>30</v>
      </c>
      <c r="G120" s="4">
        <v>446250.3</v>
      </c>
      <c r="H120" s="3">
        <f t="shared" si="6"/>
        <v>-1787671.18</v>
      </c>
      <c r="I120" s="4">
        <f t="shared" si="7"/>
        <v>-26159072041.179996</v>
      </c>
    </row>
    <row r="121" spans="1:9" ht="15" customHeight="1" x14ac:dyDescent="0.2">
      <c r="A121" s="2">
        <v>44785</v>
      </c>
      <c r="C121" s="1" t="s">
        <v>84</v>
      </c>
      <c r="D121" s="16">
        <v>19752</v>
      </c>
      <c r="E121" s="4">
        <v>284784336</v>
      </c>
      <c r="H121" s="3">
        <f t="shared" si="4"/>
        <v>-1767919.18</v>
      </c>
      <c r="I121" s="4">
        <f t="shared" si="5"/>
        <v>-25874287705.179996</v>
      </c>
    </row>
    <row r="122" spans="1:9" ht="15" customHeight="1" x14ac:dyDescent="0.2">
      <c r="A122" s="2">
        <v>44791</v>
      </c>
      <c r="C122" s="1" t="s">
        <v>53</v>
      </c>
      <c r="F122" s="16">
        <v>88884.68</v>
      </c>
      <c r="G122" s="4">
        <v>1312560069.5599999</v>
      </c>
      <c r="H122" s="3">
        <f t="shared" si="4"/>
        <v>-1856803.8599999999</v>
      </c>
      <c r="I122" s="4">
        <f t="shared" si="5"/>
        <v>-27186847774.739998</v>
      </c>
    </row>
    <row r="123" spans="1:9" ht="15" customHeight="1" x14ac:dyDescent="0.2">
      <c r="A123" s="2">
        <v>44791</v>
      </c>
      <c r="C123" s="1" t="s">
        <v>17</v>
      </c>
      <c r="F123" s="16">
        <v>17</v>
      </c>
      <c r="G123" s="4">
        <v>251039</v>
      </c>
      <c r="H123" s="3">
        <f t="shared" si="4"/>
        <v>-1856820.8599999999</v>
      </c>
      <c r="I123" s="4">
        <f t="shared" si="5"/>
        <v>-27187098813.739998</v>
      </c>
    </row>
    <row r="124" spans="1:9" ht="15" customHeight="1" x14ac:dyDescent="0.2">
      <c r="A124" s="2">
        <v>44791</v>
      </c>
      <c r="C124" s="35" t="s">
        <v>77</v>
      </c>
      <c r="D124" s="36">
        <v>24536.9</v>
      </c>
      <c r="E124" s="4">
        <v>350190636.80000001</v>
      </c>
      <c r="H124" s="3">
        <f t="shared" si="4"/>
        <v>-1832283.96</v>
      </c>
      <c r="I124" s="4">
        <f t="shared" si="5"/>
        <v>-26836908176.939999</v>
      </c>
    </row>
    <row r="125" spans="1:9" ht="15" customHeight="1" x14ac:dyDescent="0.2">
      <c r="A125" s="2">
        <v>44797</v>
      </c>
      <c r="C125" s="1" t="s">
        <v>57</v>
      </c>
      <c r="F125" s="16">
        <v>41663.03</v>
      </c>
      <c r="G125" s="4">
        <v>620487505.78999996</v>
      </c>
      <c r="H125" s="3">
        <f t="shared" si="4"/>
        <v>-1873946.99</v>
      </c>
      <c r="I125" s="4">
        <f t="shared" si="5"/>
        <v>-27457395682.73</v>
      </c>
    </row>
    <row r="126" spans="1:9" ht="15" customHeight="1" x14ac:dyDescent="0.2">
      <c r="A126" s="2">
        <v>44797</v>
      </c>
      <c r="C126" s="1" t="s">
        <v>17</v>
      </c>
      <c r="F126" s="16">
        <v>50</v>
      </c>
      <c r="G126" s="4">
        <v>744650</v>
      </c>
      <c r="H126" s="3">
        <f t="shared" si="4"/>
        <v>-1873996.99</v>
      </c>
      <c r="I126" s="4">
        <f t="shared" si="5"/>
        <v>-27458140332.73</v>
      </c>
    </row>
    <row r="127" spans="1:9" ht="15" customHeight="1" x14ac:dyDescent="0.2">
      <c r="A127" s="2">
        <v>44798</v>
      </c>
      <c r="C127" s="1" t="s">
        <v>80</v>
      </c>
      <c r="D127" s="39">
        <v>547284.62</v>
      </c>
      <c r="E127" s="4">
        <v>8067528056.2700005</v>
      </c>
      <c r="H127" s="3">
        <f t="shared" si="4"/>
        <v>-1326712.3700000001</v>
      </c>
      <c r="I127" s="4">
        <f t="shared" si="5"/>
        <v>-19390612276.459999</v>
      </c>
    </row>
    <row r="128" spans="1:9" ht="15" customHeight="1" x14ac:dyDescent="0.2">
      <c r="A128" s="2">
        <v>44799</v>
      </c>
      <c r="C128" s="1" t="s">
        <v>86</v>
      </c>
      <c r="F128" s="16">
        <v>39426.6</v>
      </c>
      <c r="G128" s="4">
        <v>584578198.19999993</v>
      </c>
      <c r="H128" s="3">
        <f t="shared" si="4"/>
        <v>-1366138.9700000002</v>
      </c>
      <c r="I128" s="4">
        <f t="shared" si="5"/>
        <v>-19975190474.66</v>
      </c>
    </row>
    <row r="129" spans="1:9" ht="15" customHeight="1" x14ac:dyDescent="0.2">
      <c r="A129" s="2">
        <v>44799</v>
      </c>
      <c r="C129" s="1" t="s">
        <v>21</v>
      </c>
      <c r="F129" s="16">
        <v>15</v>
      </c>
      <c r="G129" s="4">
        <v>222405</v>
      </c>
      <c r="H129" s="3">
        <f t="shared" si="4"/>
        <v>-1366153.9700000002</v>
      </c>
      <c r="I129" s="4">
        <f t="shared" si="5"/>
        <v>-19975412879.66</v>
      </c>
    </row>
    <row r="130" spans="1:9" ht="15" customHeight="1" x14ac:dyDescent="0.2">
      <c r="A130" s="42">
        <v>44799</v>
      </c>
      <c r="B130" s="43"/>
      <c r="C130" s="43" t="s">
        <v>86</v>
      </c>
      <c r="D130" s="44"/>
      <c r="E130" s="45"/>
      <c r="F130" s="44">
        <v>19705.8</v>
      </c>
      <c r="G130" s="45">
        <v>292177896.59999996</v>
      </c>
      <c r="H130" s="3">
        <f t="shared" si="4"/>
        <v>-1385859.7700000003</v>
      </c>
      <c r="I130" s="4">
        <f t="shared" si="5"/>
        <v>-20267590776.259998</v>
      </c>
    </row>
    <row r="131" spans="1:9" ht="15" customHeight="1" x14ac:dyDescent="0.2">
      <c r="A131" s="42">
        <v>44799</v>
      </c>
      <c r="B131" s="43"/>
      <c r="C131" s="43" t="s">
        <v>17</v>
      </c>
      <c r="D131" s="44"/>
      <c r="E131" s="45"/>
      <c r="F131" s="44">
        <v>15</v>
      </c>
      <c r="G131" s="45">
        <v>222405</v>
      </c>
      <c r="H131" s="3">
        <f t="shared" si="4"/>
        <v>-1385874.7700000003</v>
      </c>
      <c r="I131" s="4">
        <f t="shared" si="5"/>
        <v>-20267813181.259998</v>
      </c>
    </row>
    <row r="132" spans="1:9" ht="15" customHeight="1" x14ac:dyDescent="0.2">
      <c r="A132" s="2">
        <v>44802</v>
      </c>
      <c r="C132" s="1" t="s">
        <v>76</v>
      </c>
      <c r="D132" s="21">
        <v>52824</v>
      </c>
      <c r="E132" s="4">
        <v>793258008</v>
      </c>
      <c r="F132" s="1"/>
      <c r="G132" s="1"/>
      <c r="H132" s="3">
        <f t="shared" si="4"/>
        <v>-1333050.7700000003</v>
      </c>
      <c r="I132" s="4">
        <f t="shared" si="5"/>
        <v>-19474555173.259998</v>
      </c>
    </row>
    <row r="133" spans="1:9" ht="15" customHeight="1" x14ac:dyDescent="0.2">
      <c r="A133" s="2">
        <v>44804</v>
      </c>
      <c r="C133" s="1" t="s">
        <v>83</v>
      </c>
      <c r="F133" s="16">
        <v>190083.99</v>
      </c>
      <c r="G133" s="4">
        <v>2827501252.0900002</v>
      </c>
      <c r="H133" s="3">
        <f t="shared" si="4"/>
        <v>-1523134.7600000002</v>
      </c>
      <c r="I133" s="4">
        <f t="shared" si="5"/>
        <v>-22302056425.349998</v>
      </c>
    </row>
    <row r="134" spans="1:9" ht="15" customHeight="1" x14ac:dyDescent="0.2">
      <c r="A134" s="2">
        <v>44804</v>
      </c>
      <c r="C134" s="1" t="s">
        <v>21</v>
      </c>
      <c r="F134" s="16">
        <v>30</v>
      </c>
      <c r="G134" s="4">
        <v>446250.3</v>
      </c>
      <c r="H134" s="3">
        <f t="shared" si="4"/>
        <v>-1523164.7600000002</v>
      </c>
      <c r="I134" s="4">
        <f t="shared" si="5"/>
        <v>-22302502675.649998</v>
      </c>
    </row>
    <row r="135" spans="1:9" ht="15" customHeight="1" x14ac:dyDescent="0.2">
      <c r="A135" s="2">
        <v>44804</v>
      </c>
      <c r="C135" s="1" t="s">
        <v>56</v>
      </c>
      <c r="F135" s="3">
        <v>82489</v>
      </c>
      <c r="G135" s="4">
        <v>1227024699.8900001</v>
      </c>
      <c r="H135" s="3">
        <f t="shared" si="4"/>
        <v>-1605653.7600000002</v>
      </c>
      <c r="I135" s="4">
        <f t="shared" si="5"/>
        <v>-23529527375.539997</v>
      </c>
    </row>
    <row r="136" spans="1:9" ht="15" customHeight="1" x14ac:dyDescent="0.2">
      <c r="A136" s="2">
        <v>44804</v>
      </c>
      <c r="C136" s="1" t="s">
        <v>21</v>
      </c>
      <c r="F136" s="3">
        <v>55</v>
      </c>
      <c r="G136" s="4">
        <v>818125.55</v>
      </c>
      <c r="H136" s="6">
        <f t="shared" si="4"/>
        <v>-1605708.7600000002</v>
      </c>
      <c r="I136" s="7">
        <f t="shared" si="5"/>
        <v>-23530345501.089996</v>
      </c>
    </row>
    <row r="137" spans="1:9" ht="15" customHeight="1" x14ac:dyDescent="0.2">
      <c r="A137" s="2">
        <v>44805</v>
      </c>
      <c r="C137" s="40" t="s">
        <v>91</v>
      </c>
      <c r="D137" s="16">
        <v>118149.68</v>
      </c>
      <c r="E137" s="4">
        <v>1738516041.04</v>
      </c>
      <c r="H137" s="3">
        <f t="shared" si="4"/>
        <v>-1487559.0800000003</v>
      </c>
      <c r="I137" s="4">
        <f t="shared" si="5"/>
        <v>-21791829460.049995</v>
      </c>
    </row>
    <row r="138" spans="1:9" ht="15" customHeight="1" x14ac:dyDescent="0.2">
      <c r="A138" s="2">
        <v>44805</v>
      </c>
      <c r="C138" s="40" t="s">
        <v>112</v>
      </c>
      <c r="D138" s="16">
        <v>149401.26</v>
      </c>
      <c r="E138" s="4">
        <v>2226676379.04</v>
      </c>
      <c r="H138" s="3">
        <f t="shared" ref="H138:H139" si="8">+H137+D138-F138</f>
        <v>-1338157.8200000003</v>
      </c>
      <c r="I138" s="4">
        <f t="shared" ref="I138:I139" si="9">+I137+E138-G138</f>
        <v>-19565153081.009995</v>
      </c>
    </row>
    <row r="139" spans="1:9" ht="15" customHeight="1" x14ac:dyDescent="0.2">
      <c r="A139" s="2">
        <v>44806</v>
      </c>
      <c r="C139" s="40" t="s">
        <v>82</v>
      </c>
      <c r="D139" s="16">
        <f>68000+190113.99</f>
        <v>258113.99</v>
      </c>
      <c r="E139" s="4">
        <v>3839448182.3899999</v>
      </c>
      <c r="H139" s="3">
        <f t="shared" si="8"/>
        <v>-1080043.8300000003</v>
      </c>
      <c r="I139" s="4">
        <f t="shared" si="9"/>
        <v>-15725704898.619995</v>
      </c>
    </row>
    <row r="140" spans="1:9" ht="15" customHeight="1" x14ac:dyDescent="0.2">
      <c r="A140" s="2">
        <v>44806</v>
      </c>
      <c r="C140" s="40" t="s">
        <v>88</v>
      </c>
      <c r="D140" s="16">
        <f>14624+41713.03</f>
        <v>56337.03</v>
      </c>
      <c r="E140" s="4">
        <f>215572530.24+621232155.79</f>
        <v>836804686.02999997</v>
      </c>
      <c r="H140" s="3">
        <f t="shared" ref="H140:H160" si="10">+H139+D140-F140</f>
        <v>-1023706.8000000003</v>
      </c>
      <c r="I140" s="4">
        <f t="shared" ref="I140:I160" si="11">+I139+E140-G140</f>
        <v>-14888900212.589994</v>
      </c>
    </row>
    <row r="141" spans="1:9" ht="15" customHeight="1" x14ac:dyDescent="0.2">
      <c r="A141" s="2">
        <v>44810</v>
      </c>
      <c r="C141" s="40" t="s">
        <v>85</v>
      </c>
      <c r="D141" s="16">
        <v>19752</v>
      </c>
      <c r="E141" s="4">
        <v>284784336</v>
      </c>
      <c r="H141" s="3">
        <f t="shared" si="10"/>
        <v>-1003954.8000000003</v>
      </c>
      <c r="I141" s="4">
        <f t="shared" si="11"/>
        <v>-14604115876.589994</v>
      </c>
    </row>
    <row r="142" spans="1:9" ht="15" customHeight="1" x14ac:dyDescent="0.2">
      <c r="A142" s="2">
        <v>44818</v>
      </c>
      <c r="C142" s="40" t="s">
        <v>86</v>
      </c>
      <c r="F142" s="41">
        <v>26252.400000000001</v>
      </c>
      <c r="G142" s="4">
        <v>390136916.39999998</v>
      </c>
      <c r="H142" s="3">
        <f t="shared" si="10"/>
        <v>-1030207.2000000003</v>
      </c>
      <c r="I142" s="4">
        <f t="shared" si="11"/>
        <v>-14994252792.989994</v>
      </c>
    </row>
    <row r="143" spans="1:9" ht="15" customHeight="1" x14ac:dyDescent="0.2">
      <c r="A143" s="2">
        <v>44818</v>
      </c>
      <c r="C143" s="40" t="s">
        <v>21</v>
      </c>
      <c r="F143" s="41">
        <v>42</v>
      </c>
      <c r="G143" s="4">
        <v>624162</v>
      </c>
      <c r="H143" s="3">
        <f t="shared" si="10"/>
        <v>-1030249.2000000003</v>
      </c>
      <c r="I143" s="4">
        <f t="shared" si="11"/>
        <v>-14994876954.989994</v>
      </c>
    </row>
    <row r="144" spans="1:9" ht="15" customHeight="1" x14ac:dyDescent="0.2">
      <c r="A144" s="2">
        <v>44824</v>
      </c>
      <c r="C144" s="40" t="s">
        <v>79</v>
      </c>
      <c r="F144" s="41">
        <v>724608.55</v>
      </c>
      <c r="G144" s="4">
        <v>10854636079</v>
      </c>
      <c r="H144" s="3">
        <f t="shared" si="10"/>
        <v>-1754857.7500000005</v>
      </c>
      <c r="I144" s="4">
        <f t="shared" si="11"/>
        <v>-25849513033.989994</v>
      </c>
    </row>
    <row r="145" spans="1:12" ht="15" customHeight="1" x14ac:dyDescent="0.2">
      <c r="A145" s="2">
        <v>44824</v>
      </c>
      <c r="C145" s="40" t="s">
        <v>21</v>
      </c>
      <c r="F145" s="41">
        <v>25</v>
      </c>
      <c r="G145" s="4">
        <v>374500</v>
      </c>
      <c r="H145" s="3">
        <f t="shared" si="10"/>
        <v>-1754882.7500000005</v>
      </c>
      <c r="I145" s="4">
        <f t="shared" si="11"/>
        <v>-25849887533.989994</v>
      </c>
    </row>
    <row r="146" spans="1:12" ht="15" customHeight="1" x14ac:dyDescent="0.2">
      <c r="A146" s="2">
        <v>44824</v>
      </c>
      <c r="C146" s="40" t="s">
        <v>87</v>
      </c>
      <c r="D146" s="16">
        <v>27891.599999999999</v>
      </c>
      <c r="E146" s="4">
        <v>411150354.51999998</v>
      </c>
      <c r="H146" s="3">
        <f t="shared" si="10"/>
        <v>-1726991.1500000004</v>
      </c>
      <c r="I146" s="4">
        <f t="shared" si="11"/>
        <v>-25438737179.469994</v>
      </c>
    </row>
    <row r="147" spans="1:12" s="43" customFormat="1" ht="15" customHeight="1" x14ac:dyDescent="0.2">
      <c r="A147" s="42">
        <v>44826</v>
      </c>
      <c r="C147" s="46" t="s">
        <v>86</v>
      </c>
      <c r="D147" s="44"/>
      <c r="E147" s="45"/>
      <c r="F147" s="44">
        <v>128350.2</v>
      </c>
      <c r="G147" s="45">
        <v>1926664852.2</v>
      </c>
      <c r="H147" s="44">
        <f t="shared" si="10"/>
        <v>-1855341.3500000003</v>
      </c>
      <c r="I147" s="45">
        <f t="shared" si="11"/>
        <v>-27365402031.669994</v>
      </c>
      <c r="K147" s="44"/>
      <c r="L147" s="45"/>
    </row>
    <row r="148" spans="1:12" s="43" customFormat="1" ht="15" customHeight="1" x14ac:dyDescent="0.2">
      <c r="A148" s="42">
        <v>44826</v>
      </c>
      <c r="C148" s="46" t="s">
        <v>21</v>
      </c>
      <c r="D148" s="44"/>
      <c r="E148" s="45"/>
      <c r="F148" s="44">
        <v>15</v>
      </c>
      <c r="G148" s="45">
        <v>225165</v>
      </c>
      <c r="H148" s="44">
        <f t="shared" si="10"/>
        <v>-1855356.3500000003</v>
      </c>
      <c r="I148" s="45">
        <f t="shared" si="11"/>
        <v>-27365627196.669994</v>
      </c>
      <c r="K148" s="44"/>
      <c r="L148" s="45"/>
    </row>
    <row r="149" spans="1:12" ht="15" customHeight="1" x14ac:dyDescent="0.2">
      <c r="A149" s="2">
        <v>44826</v>
      </c>
      <c r="C149" s="40" t="s">
        <v>161</v>
      </c>
      <c r="F149" s="3">
        <v>118489.8</v>
      </c>
      <c r="G149" s="4">
        <v>1778650387.8</v>
      </c>
      <c r="H149" s="3">
        <f t="shared" si="10"/>
        <v>-1973846.1500000004</v>
      </c>
      <c r="I149" s="4">
        <f t="shared" si="11"/>
        <v>-29144277584.469994</v>
      </c>
    </row>
    <row r="150" spans="1:12" ht="15" customHeight="1" x14ac:dyDescent="0.2">
      <c r="A150" s="2">
        <v>44826</v>
      </c>
      <c r="C150" s="40" t="s">
        <v>21</v>
      </c>
      <c r="F150" s="3">
        <v>15</v>
      </c>
      <c r="G150" s="4">
        <v>225165</v>
      </c>
      <c r="H150" s="3">
        <f t="shared" si="10"/>
        <v>-1973861.1500000004</v>
      </c>
      <c r="I150" s="4">
        <f t="shared" si="11"/>
        <v>-29144502749.469994</v>
      </c>
    </row>
    <row r="151" spans="1:12" ht="15" customHeight="1" x14ac:dyDescent="0.2">
      <c r="A151" s="2">
        <v>44826</v>
      </c>
      <c r="B151" s="2"/>
      <c r="C151" s="40" t="s">
        <v>96</v>
      </c>
      <c r="F151" s="31">
        <v>142728.70000000001</v>
      </c>
      <c r="G151" s="4">
        <v>2142500515.7</v>
      </c>
      <c r="H151" s="3">
        <f t="shared" ref="H151:H153" si="12">+H150+D151-F151</f>
        <v>-2116589.8500000006</v>
      </c>
      <c r="I151" s="4">
        <f t="shared" ref="I151:I153" si="13">+I150+E151-G151</f>
        <v>-31287003265.169994</v>
      </c>
    </row>
    <row r="152" spans="1:12" ht="15" customHeight="1" x14ac:dyDescent="0.2">
      <c r="A152" s="2">
        <v>44826</v>
      </c>
      <c r="B152" s="2"/>
      <c r="C152" s="40" t="s">
        <v>115</v>
      </c>
      <c r="F152" s="17">
        <v>6629.56</v>
      </c>
      <c r="G152" s="4">
        <v>99516325.159999996</v>
      </c>
      <c r="H152" s="3">
        <f t="shared" si="12"/>
        <v>-2123219.4100000006</v>
      </c>
      <c r="I152" s="4">
        <f t="shared" si="13"/>
        <v>-31386519590.329994</v>
      </c>
    </row>
    <row r="153" spans="1:12" ht="15" customHeight="1" x14ac:dyDescent="0.2">
      <c r="A153" s="2">
        <v>44826</v>
      </c>
      <c r="C153" s="40" t="s">
        <v>92</v>
      </c>
      <c r="F153" s="41">
        <v>42575.21</v>
      </c>
      <c r="G153" s="4">
        <v>639096477.30999994</v>
      </c>
      <c r="H153" s="3">
        <f t="shared" si="12"/>
        <v>-2165794.6200000006</v>
      </c>
      <c r="I153" s="4">
        <f t="shared" si="13"/>
        <v>-32025616067.639996</v>
      </c>
    </row>
    <row r="154" spans="1:12" ht="15" customHeight="1" x14ac:dyDescent="0.2">
      <c r="A154" s="2">
        <v>44826</v>
      </c>
      <c r="C154" s="40" t="s">
        <v>21</v>
      </c>
      <c r="F154" s="41">
        <v>50</v>
      </c>
      <c r="G154" s="4">
        <v>750550</v>
      </c>
      <c r="H154" s="3">
        <f t="shared" si="10"/>
        <v>-2165844.6200000006</v>
      </c>
      <c r="I154" s="4">
        <f t="shared" si="11"/>
        <v>-32026366617.639996</v>
      </c>
    </row>
    <row r="155" spans="1:12" ht="15" customHeight="1" x14ac:dyDescent="0.2">
      <c r="A155" s="2">
        <v>44827</v>
      </c>
      <c r="C155" s="40" t="s">
        <v>89</v>
      </c>
      <c r="D155" s="16">
        <v>39441.599999999999</v>
      </c>
      <c r="E155" s="4">
        <v>584800603.20000005</v>
      </c>
      <c r="H155" s="3">
        <f t="shared" si="10"/>
        <v>-2126403.0200000005</v>
      </c>
      <c r="I155" s="4">
        <f t="shared" si="11"/>
        <v>-31441566014.439995</v>
      </c>
    </row>
    <row r="156" spans="1:12" ht="15" customHeight="1" x14ac:dyDescent="0.2">
      <c r="A156" s="2">
        <v>44833</v>
      </c>
      <c r="C156" s="40" t="s">
        <v>90</v>
      </c>
      <c r="D156" s="3">
        <v>24536.9</v>
      </c>
      <c r="E156" s="4">
        <v>106992800.8</v>
      </c>
      <c r="H156" s="3">
        <f t="shared" si="10"/>
        <v>-2101866.1200000006</v>
      </c>
      <c r="I156" s="4">
        <f t="shared" si="11"/>
        <v>-31334573213.639996</v>
      </c>
    </row>
    <row r="157" spans="1:12" ht="15" customHeight="1" x14ac:dyDescent="0.2">
      <c r="A157" s="2">
        <v>44833</v>
      </c>
      <c r="C157" s="40" t="s">
        <v>79</v>
      </c>
      <c r="F157" s="41">
        <v>313439.96000000002</v>
      </c>
      <c r="G157" s="4">
        <v>4777765310.2800007</v>
      </c>
      <c r="H157" s="3">
        <f t="shared" si="10"/>
        <v>-2415306.0800000005</v>
      </c>
      <c r="I157" s="4">
        <f t="shared" si="11"/>
        <v>-36112338523.919998</v>
      </c>
    </row>
    <row r="158" spans="1:12" ht="15" customHeight="1" x14ac:dyDescent="0.2">
      <c r="A158" s="2">
        <v>44833</v>
      </c>
      <c r="C158" s="40" t="s">
        <v>21</v>
      </c>
      <c r="F158" s="41">
        <v>37</v>
      </c>
      <c r="G158" s="4">
        <v>563991</v>
      </c>
      <c r="H158" s="3">
        <f t="shared" si="10"/>
        <v>-2415343.0800000005</v>
      </c>
      <c r="I158" s="4">
        <f t="shared" si="11"/>
        <v>-36112902514.919998</v>
      </c>
    </row>
    <row r="159" spans="1:12" ht="15" customHeight="1" x14ac:dyDescent="0.2">
      <c r="A159" s="2">
        <v>44834</v>
      </c>
      <c r="C159" s="40" t="s">
        <v>93</v>
      </c>
      <c r="F159" s="41">
        <v>38368.400000000001</v>
      </c>
      <c r="G159" s="4">
        <v>585002994.79999995</v>
      </c>
      <c r="H159" s="3">
        <f t="shared" si="10"/>
        <v>-2453711.4800000004</v>
      </c>
      <c r="I159" s="4">
        <f t="shared" si="11"/>
        <v>-36697905509.720001</v>
      </c>
    </row>
    <row r="160" spans="1:12" ht="15" customHeight="1" x14ac:dyDescent="0.2">
      <c r="A160" s="2">
        <v>44834</v>
      </c>
      <c r="C160" s="40" t="s">
        <v>21</v>
      </c>
      <c r="F160" s="41">
        <v>17</v>
      </c>
      <c r="G160" s="4">
        <v>259199</v>
      </c>
      <c r="H160" s="6">
        <f t="shared" si="10"/>
        <v>-2453728.4800000004</v>
      </c>
      <c r="I160" s="7">
        <f t="shared" si="11"/>
        <v>-36698164708.720001</v>
      </c>
      <c r="J160" s="67"/>
    </row>
    <row r="161" spans="1:10" ht="15" customHeight="1" x14ac:dyDescent="0.2">
      <c r="A161" s="2">
        <v>44835</v>
      </c>
      <c r="C161" s="40" t="s">
        <v>114</v>
      </c>
      <c r="D161" s="31">
        <v>142728.70000000001</v>
      </c>
      <c r="E161" s="4">
        <v>2142500515.7</v>
      </c>
      <c r="F161" s="17"/>
      <c r="H161" s="3">
        <f t="shared" ref="H161:H162" si="14">+H160+D161-F161</f>
        <v>-2310999.7800000003</v>
      </c>
      <c r="I161" s="4">
        <f t="shared" ref="I161:I162" si="15">+I160+E161-G161</f>
        <v>-34555664193.020004</v>
      </c>
      <c r="J161" s="68"/>
    </row>
    <row r="162" spans="1:10" ht="15" customHeight="1" x14ac:dyDescent="0.2">
      <c r="A162" s="2">
        <v>44840</v>
      </c>
      <c r="C162" s="1" t="s">
        <v>96</v>
      </c>
      <c r="F162" s="3">
        <v>149957</v>
      </c>
      <c r="G162" s="4">
        <v>2278746572</v>
      </c>
      <c r="H162" s="3">
        <f t="shared" si="14"/>
        <v>-2460956.7800000003</v>
      </c>
      <c r="I162" s="4">
        <f t="shared" si="15"/>
        <v>-36834410765.020004</v>
      </c>
    </row>
    <row r="163" spans="1:10" ht="15" customHeight="1" x14ac:dyDescent="0.2">
      <c r="A163" s="2">
        <v>44840</v>
      </c>
      <c r="C163" s="1" t="s">
        <v>21</v>
      </c>
      <c r="F163" s="3">
        <v>43</v>
      </c>
      <c r="G163" s="4">
        <v>653428</v>
      </c>
      <c r="H163" s="3">
        <f t="shared" ref="H163:H180" si="16">+H162+D163-F163</f>
        <v>-2460999.7800000003</v>
      </c>
      <c r="I163" s="4">
        <f t="shared" ref="I163:I180" si="17">+I162+E163-G163</f>
        <v>-36835064193.020004</v>
      </c>
    </row>
    <row r="164" spans="1:10" ht="15" customHeight="1" x14ac:dyDescent="0.2">
      <c r="A164" s="2">
        <v>44840</v>
      </c>
      <c r="C164" s="1" t="s">
        <v>96</v>
      </c>
      <c r="F164" s="3">
        <v>120179.75</v>
      </c>
      <c r="G164" s="4">
        <v>1826251481</v>
      </c>
      <c r="H164" s="3">
        <f t="shared" si="16"/>
        <v>-2581179.5300000003</v>
      </c>
      <c r="I164" s="4">
        <f t="shared" si="17"/>
        <v>-38661315674.020004</v>
      </c>
    </row>
    <row r="165" spans="1:10" ht="15" customHeight="1" x14ac:dyDescent="0.2">
      <c r="A165" s="2">
        <v>44840</v>
      </c>
      <c r="C165" s="1" t="s">
        <v>96</v>
      </c>
      <c r="F165" s="14">
        <v>22866</v>
      </c>
      <c r="G165" s="4">
        <v>347471736</v>
      </c>
      <c r="H165" s="3">
        <f t="shared" ref="H165:H166" si="18">+H164+D165-F165</f>
        <v>-2604045.5300000003</v>
      </c>
      <c r="I165" s="4">
        <f t="shared" ref="I165:I166" si="19">+I164+E165-G165</f>
        <v>-39008787410.020004</v>
      </c>
    </row>
    <row r="166" spans="1:10" ht="15" customHeight="1" x14ac:dyDescent="0.2">
      <c r="A166" s="2">
        <v>44840</v>
      </c>
      <c r="C166" s="1" t="s">
        <v>21</v>
      </c>
      <c r="F166" s="3">
        <v>43</v>
      </c>
      <c r="G166" s="4">
        <v>653428</v>
      </c>
      <c r="H166" s="3">
        <f t="shared" si="18"/>
        <v>-2604088.5300000003</v>
      </c>
      <c r="I166" s="4">
        <f t="shared" si="19"/>
        <v>-39009440838.020004</v>
      </c>
    </row>
    <row r="167" spans="1:10" ht="15" customHeight="1" x14ac:dyDescent="0.2">
      <c r="A167" s="2">
        <v>44841</v>
      </c>
      <c r="C167" s="1" t="s">
        <v>97</v>
      </c>
      <c r="D167" s="3">
        <v>157124</v>
      </c>
      <c r="E167" s="4">
        <v>2289141127.2399998</v>
      </c>
      <c r="H167" s="3">
        <f t="shared" si="16"/>
        <v>-2446964.5300000003</v>
      </c>
      <c r="I167" s="4">
        <f t="shared" si="17"/>
        <v>-36720299710.780006</v>
      </c>
    </row>
    <row r="168" spans="1:10" ht="15" customHeight="1" x14ac:dyDescent="0.2">
      <c r="A168" s="2">
        <v>44861</v>
      </c>
      <c r="C168" s="1" t="s">
        <v>26</v>
      </c>
      <c r="F168" s="14">
        <v>14678</v>
      </c>
      <c r="G168" s="4">
        <v>228918088</v>
      </c>
      <c r="H168" s="3">
        <f t="shared" si="16"/>
        <v>-2461642.5300000003</v>
      </c>
      <c r="I168" s="4">
        <f t="shared" si="17"/>
        <v>-36949217798.780006</v>
      </c>
    </row>
    <row r="169" spans="1:10" ht="15" customHeight="1" x14ac:dyDescent="0.2">
      <c r="A169" s="2">
        <v>44861</v>
      </c>
      <c r="C169" s="1" t="s">
        <v>17</v>
      </c>
      <c r="F169" s="14">
        <v>42</v>
      </c>
      <c r="G169" s="4">
        <v>655032</v>
      </c>
      <c r="H169" s="3">
        <f t="shared" si="16"/>
        <v>-2461684.5300000003</v>
      </c>
      <c r="I169" s="4">
        <f t="shared" si="17"/>
        <v>-36949872830.780006</v>
      </c>
    </row>
    <row r="170" spans="1:10" ht="15" customHeight="1" x14ac:dyDescent="0.2">
      <c r="A170" s="2">
        <v>44861</v>
      </c>
      <c r="C170" s="1" t="s">
        <v>26</v>
      </c>
      <c r="F170" s="14">
        <v>14678</v>
      </c>
      <c r="G170" s="4">
        <v>228918088</v>
      </c>
      <c r="H170" s="3">
        <f t="shared" si="16"/>
        <v>-2476362.5300000003</v>
      </c>
      <c r="I170" s="4">
        <f t="shared" si="17"/>
        <v>-37178790918.780006</v>
      </c>
    </row>
    <row r="171" spans="1:10" ht="15" customHeight="1" x14ac:dyDescent="0.2">
      <c r="A171" s="2">
        <v>44861</v>
      </c>
      <c r="C171" s="1" t="s">
        <v>17</v>
      </c>
      <c r="F171" s="14">
        <v>42</v>
      </c>
      <c r="G171" s="4">
        <v>655032</v>
      </c>
      <c r="H171" s="3">
        <f t="shared" si="16"/>
        <v>-2476404.5300000003</v>
      </c>
      <c r="I171" s="4">
        <f t="shared" si="17"/>
        <v>-37179445950.780006</v>
      </c>
    </row>
    <row r="172" spans="1:10" ht="15" customHeight="1" x14ac:dyDescent="0.2">
      <c r="A172" s="2">
        <v>44861</v>
      </c>
      <c r="C172" s="1" t="s">
        <v>26</v>
      </c>
      <c r="F172" s="14">
        <v>15078</v>
      </c>
      <c r="G172" s="4">
        <v>235156488</v>
      </c>
      <c r="H172" s="3">
        <f t="shared" si="16"/>
        <v>-2491482.5300000003</v>
      </c>
      <c r="I172" s="4">
        <f t="shared" si="17"/>
        <v>-37414602438.780006</v>
      </c>
    </row>
    <row r="173" spans="1:10" ht="15" customHeight="1" x14ac:dyDescent="0.2">
      <c r="A173" s="2">
        <v>44861</v>
      </c>
      <c r="C173" s="1" t="s">
        <v>17</v>
      </c>
      <c r="F173" s="14">
        <v>42</v>
      </c>
      <c r="G173" s="4">
        <v>655032</v>
      </c>
      <c r="H173" s="3">
        <f t="shared" si="16"/>
        <v>-2491524.5300000003</v>
      </c>
      <c r="I173" s="4">
        <f t="shared" si="17"/>
        <v>-37415257470.780006</v>
      </c>
    </row>
    <row r="174" spans="1:10" ht="15" customHeight="1" x14ac:dyDescent="0.2">
      <c r="A174" s="2">
        <v>44846</v>
      </c>
      <c r="C174" s="1" t="s">
        <v>98</v>
      </c>
      <c r="D174" s="41">
        <v>724633.55</v>
      </c>
      <c r="E174" s="4">
        <v>10855010579</v>
      </c>
      <c r="H174" s="3">
        <f t="shared" si="16"/>
        <v>-1766890.9800000002</v>
      </c>
      <c r="I174" s="4">
        <f t="shared" si="17"/>
        <v>-26560246891.780006</v>
      </c>
    </row>
    <row r="175" spans="1:10" ht="15" customHeight="1" x14ac:dyDescent="0.2">
      <c r="A175" s="2">
        <v>44854</v>
      </c>
      <c r="C175" s="1" t="s">
        <v>99</v>
      </c>
      <c r="D175" s="41">
        <v>217087.76</v>
      </c>
      <c r="E175" s="4">
        <v>3309068725.6799998</v>
      </c>
      <c r="H175" s="3">
        <f t="shared" si="16"/>
        <v>-1549803.2200000002</v>
      </c>
      <c r="I175" s="4">
        <f t="shared" si="17"/>
        <v>-23251178166.100006</v>
      </c>
    </row>
    <row r="176" spans="1:10" ht="15" customHeight="1" x14ac:dyDescent="0.2">
      <c r="A176" s="2">
        <v>44859</v>
      </c>
      <c r="C176" s="1" t="s">
        <v>99</v>
      </c>
      <c r="D176" s="41">
        <v>96389.2</v>
      </c>
      <c r="E176" s="4">
        <v>1469260575.5999999</v>
      </c>
      <c r="H176" s="3">
        <f t="shared" si="16"/>
        <v>-1453414.0200000003</v>
      </c>
      <c r="I176" s="4">
        <f t="shared" si="17"/>
        <v>-21781917590.500008</v>
      </c>
    </row>
    <row r="177" spans="1:12" ht="15" customHeight="1" x14ac:dyDescent="0.2">
      <c r="A177" s="2">
        <v>44847</v>
      </c>
      <c r="C177" s="1" t="s">
        <v>79</v>
      </c>
      <c r="F177" s="65">
        <v>222479.45</v>
      </c>
      <c r="G177" s="4">
        <v>3420176584.8499999</v>
      </c>
      <c r="H177" s="3">
        <f t="shared" si="16"/>
        <v>-1675893.4700000002</v>
      </c>
      <c r="I177" s="4">
        <f t="shared" si="17"/>
        <v>-25202094175.350006</v>
      </c>
    </row>
    <row r="178" spans="1:12" ht="15" customHeight="1" x14ac:dyDescent="0.2">
      <c r="A178" s="2">
        <v>44847</v>
      </c>
      <c r="C178" s="1" t="s">
        <v>17</v>
      </c>
      <c r="F178" s="65">
        <v>25</v>
      </c>
      <c r="G178" s="4">
        <v>384325</v>
      </c>
      <c r="H178" s="3">
        <f t="shared" si="16"/>
        <v>-1675918.4700000002</v>
      </c>
      <c r="I178" s="4">
        <f t="shared" si="17"/>
        <v>-25202478500.350006</v>
      </c>
    </row>
    <row r="179" spans="1:12" ht="15" customHeight="1" x14ac:dyDescent="0.2">
      <c r="A179" s="2">
        <v>44865</v>
      </c>
      <c r="C179" s="1" t="s">
        <v>79</v>
      </c>
      <c r="F179" s="66">
        <v>182688.3</v>
      </c>
      <c r="G179" s="4">
        <v>2839341558.5999999</v>
      </c>
      <c r="H179" s="3">
        <f t="shared" si="16"/>
        <v>-1858606.7700000003</v>
      </c>
      <c r="I179" s="4">
        <f t="shared" si="17"/>
        <v>-28041820058.950005</v>
      </c>
    </row>
    <row r="180" spans="1:12" ht="15" customHeight="1" x14ac:dyDescent="0.2">
      <c r="A180" s="2">
        <v>44865</v>
      </c>
      <c r="C180" s="1" t="s">
        <v>17</v>
      </c>
      <c r="F180" s="66">
        <v>25</v>
      </c>
      <c r="G180" s="4">
        <v>388550</v>
      </c>
      <c r="H180" s="3">
        <f t="shared" si="16"/>
        <v>-1858631.7700000003</v>
      </c>
      <c r="I180" s="4">
        <f t="shared" si="17"/>
        <v>-28042208608.950005</v>
      </c>
    </row>
    <row r="181" spans="1:12" ht="15" customHeight="1" x14ac:dyDescent="0.2">
      <c r="A181" s="2">
        <v>44854</v>
      </c>
      <c r="C181" s="1" t="s">
        <v>96</v>
      </c>
      <c r="F181" s="3">
        <v>214262.87</v>
      </c>
      <c r="G181" s="4">
        <v>3319146119.1700001</v>
      </c>
      <c r="H181" s="3">
        <f t="shared" ref="H181:H185" si="20">+H180+D181-F181</f>
        <v>-2072894.6400000001</v>
      </c>
      <c r="I181" s="4">
        <f t="shared" ref="I181:I185" si="21">+I180+E181-G181</f>
        <v>-31361354728.120003</v>
      </c>
    </row>
    <row r="182" spans="1:12" ht="15" customHeight="1" x14ac:dyDescent="0.2">
      <c r="A182" s="2">
        <v>44854</v>
      </c>
      <c r="C182" s="1" t="s">
        <v>17</v>
      </c>
      <c r="F182" s="3">
        <v>43</v>
      </c>
      <c r="G182" s="4">
        <v>666113</v>
      </c>
      <c r="H182" s="3">
        <f t="shared" si="20"/>
        <v>-2072937.6400000001</v>
      </c>
      <c r="I182" s="4">
        <f t="shared" si="21"/>
        <v>-31362020841.120003</v>
      </c>
    </row>
    <row r="183" spans="1:12" ht="15" customHeight="1" x14ac:dyDescent="0.2">
      <c r="A183" s="2">
        <v>44862</v>
      </c>
      <c r="C183" s="1" t="s">
        <v>100</v>
      </c>
      <c r="D183" s="41">
        <v>39913.599999999999</v>
      </c>
      <c r="E183" s="4">
        <v>593715199.13999999</v>
      </c>
      <c r="H183" s="3">
        <f t="shared" si="20"/>
        <v>-2033024.04</v>
      </c>
      <c r="I183" s="4">
        <f t="shared" si="21"/>
        <v>-30768305641.980003</v>
      </c>
    </row>
    <row r="184" spans="1:12" ht="15" customHeight="1" x14ac:dyDescent="0.2">
      <c r="A184" s="2">
        <v>44840</v>
      </c>
      <c r="C184" s="1" t="s">
        <v>101</v>
      </c>
      <c r="D184" s="41">
        <v>62995</v>
      </c>
      <c r="E184" s="4">
        <v>916487904.25999999</v>
      </c>
      <c r="H184" s="3">
        <f t="shared" si="20"/>
        <v>-1970029.04</v>
      </c>
      <c r="I184" s="4">
        <f t="shared" si="21"/>
        <v>-29851817737.720005</v>
      </c>
    </row>
    <row r="185" spans="1:12" ht="15" customHeight="1" x14ac:dyDescent="0.2">
      <c r="A185" s="2">
        <v>44847</v>
      </c>
      <c r="C185" s="1" t="s">
        <v>178</v>
      </c>
      <c r="F185" s="14">
        <v>172240.8</v>
      </c>
      <c r="G185" s="4">
        <v>2647857818.4000001</v>
      </c>
      <c r="H185" s="3">
        <f t="shared" si="20"/>
        <v>-2142269.84</v>
      </c>
      <c r="I185" s="4">
        <f t="shared" si="21"/>
        <v>-32499675556.120007</v>
      </c>
    </row>
    <row r="186" spans="1:12" ht="15" customHeight="1" x14ac:dyDescent="0.2">
      <c r="A186" s="2">
        <v>44847</v>
      </c>
      <c r="C186" s="1" t="s">
        <v>17</v>
      </c>
      <c r="F186" s="14">
        <v>30</v>
      </c>
      <c r="G186" s="4">
        <v>461190</v>
      </c>
      <c r="H186" s="3">
        <f t="shared" ref="H186" si="22">+H185+D186-F186</f>
        <v>-2142299.84</v>
      </c>
      <c r="I186" s="4">
        <f t="shared" ref="I186" si="23">+I185+E186-G186</f>
        <v>-32500136746.120007</v>
      </c>
    </row>
    <row r="187" spans="1:12" ht="15" customHeight="1" x14ac:dyDescent="0.2">
      <c r="A187" s="2">
        <v>44841</v>
      </c>
      <c r="C187" s="1" t="s">
        <v>102</v>
      </c>
      <c r="D187" s="41">
        <v>55434.7</v>
      </c>
      <c r="E187" s="4">
        <v>838853482</v>
      </c>
      <c r="H187" s="3">
        <f t="shared" ref="H187:H188" si="24">+H186+D187-F187</f>
        <v>-2086865.14</v>
      </c>
      <c r="I187" s="4">
        <f t="shared" ref="I187:I188" si="25">+I186+E187-G187</f>
        <v>-31661283264.120007</v>
      </c>
    </row>
    <row r="188" spans="1:12" ht="15" customHeight="1" x14ac:dyDescent="0.2">
      <c r="A188" s="2">
        <v>44837</v>
      </c>
      <c r="C188" s="1" t="s">
        <v>103</v>
      </c>
      <c r="D188" s="41">
        <v>57249.21</v>
      </c>
      <c r="E188" s="4">
        <f>215572530.24+639847027.31</f>
        <v>855419557.54999995</v>
      </c>
      <c r="H188" s="3">
        <f t="shared" si="24"/>
        <v>-2029615.93</v>
      </c>
      <c r="I188" s="4">
        <f t="shared" si="25"/>
        <v>-30805863706.570007</v>
      </c>
    </row>
    <row r="189" spans="1:12" ht="15" customHeight="1" x14ac:dyDescent="0.2">
      <c r="A189" s="2">
        <v>44862</v>
      </c>
      <c r="C189" s="1" t="s">
        <v>104</v>
      </c>
      <c r="D189" s="41">
        <v>26294.400000000001</v>
      </c>
      <c r="E189" s="4">
        <v>390761078.39999998</v>
      </c>
      <c r="H189" s="3">
        <f t="shared" ref="H189:H190" si="26">+H188+D189-F189</f>
        <v>-2003321.53</v>
      </c>
      <c r="I189" s="4">
        <f t="shared" ref="I189:I190" si="27">+I188+E189-G189</f>
        <v>-30415102628.170006</v>
      </c>
    </row>
    <row r="190" spans="1:12" ht="15" customHeight="1" x14ac:dyDescent="0.2">
      <c r="A190" s="2">
        <v>44845</v>
      </c>
      <c r="C190" s="1" t="s">
        <v>129</v>
      </c>
      <c r="D190" s="3">
        <f>40000+10000</f>
        <v>50000</v>
      </c>
      <c r="E190" s="4">
        <f>574920400+148020000</f>
        <v>722940400</v>
      </c>
      <c r="H190" s="6">
        <f t="shared" si="26"/>
        <v>-1953321.53</v>
      </c>
      <c r="I190" s="7">
        <f t="shared" si="27"/>
        <v>-29692162228.170006</v>
      </c>
      <c r="J190" s="67"/>
    </row>
    <row r="191" spans="1:12" ht="15" customHeight="1" x14ac:dyDescent="0.2">
      <c r="J191" s="70"/>
    </row>
    <row r="192" spans="1:12" s="43" customFormat="1" ht="15" customHeight="1" x14ac:dyDescent="0.2">
      <c r="A192" s="42">
        <v>44868</v>
      </c>
      <c r="C192" s="43" t="s">
        <v>107</v>
      </c>
      <c r="D192" s="44">
        <v>103000</v>
      </c>
      <c r="E192" s="45">
        <f>292400301.6+1250104071.2</f>
        <v>1542504372.8000002</v>
      </c>
      <c r="F192" s="44"/>
      <c r="G192" s="45"/>
      <c r="H192" s="44">
        <f>+H190+D192-F192</f>
        <v>-1850321.53</v>
      </c>
      <c r="I192" s="45">
        <f>+I190+E192-G192</f>
        <v>-28149657855.370007</v>
      </c>
      <c r="K192" s="44"/>
      <c r="L192" s="45"/>
    </row>
    <row r="193" spans="1:12" s="43" customFormat="1" ht="15" customHeight="1" x14ac:dyDescent="0.2">
      <c r="A193" s="42">
        <v>44882</v>
      </c>
      <c r="C193" s="43" t="s">
        <v>106</v>
      </c>
      <c r="D193" s="44">
        <f>45086+10000</f>
        <v>55086</v>
      </c>
      <c r="E193" s="45">
        <f>676785946+150110000</f>
        <v>826895946</v>
      </c>
      <c r="F193" s="44"/>
      <c r="G193" s="45"/>
      <c r="H193" s="44">
        <f>+H192+D193-F193</f>
        <v>-1795235.53</v>
      </c>
      <c r="I193" s="45">
        <f>+I192+E193-G193</f>
        <v>-27322761909.370007</v>
      </c>
      <c r="K193" s="44"/>
      <c r="L193" s="45"/>
    </row>
    <row r="194" spans="1:12" s="43" customFormat="1" ht="15" customHeight="1" x14ac:dyDescent="0.2">
      <c r="A194" s="42">
        <v>44894</v>
      </c>
      <c r="C194" s="43" t="s">
        <v>106</v>
      </c>
      <c r="D194" s="44">
        <v>20000</v>
      </c>
      <c r="E194" s="45">
        <v>300220000</v>
      </c>
      <c r="F194" s="44"/>
      <c r="G194" s="45"/>
      <c r="H194" s="44">
        <f t="shared" ref="H194:H202" si="28">+H193+D194-F194</f>
        <v>-1775235.53</v>
      </c>
      <c r="I194" s="45">
        <f t="shared" ref="I194:I202" si="29">+I193+E194-G194</f>
        <v>-27022541909.370007</v>
      </c>
      <c r="K194" s="44"/>
      <c r="L194" s="45"/>
    </row>
    <row r="195" spans="1:12" ht="15" customHeight="1" x14ac:dyDescent="0.2">
      <c r="A195" s="2">
        <v>44876</v>
      </c>
      <c r="C195" s="1" t="s">
        <v>86</v>
      </c>
      <c r="F195" s="23">
        <v>52558.8</v>
      </c>
      <c r="G195" s="4">
        <v>825225718.79999995</v>
      </c>
      <c r="H195" s="3">
        <f t="shared" si="28"/>
        <v>-1827794.33</v>
      </c>
      <c r="I195" s="4">
        <f t="shared" si="29"/>
        <v>-27847767628.170006</v>
      </c>
    </row>
    <row r="196" spans="1:12" ht="15" customHeight="1" x14ac:dyDescent="0.2">
      <c r="A196" s="2">
        <v>44876</v>
      </c>
      <c r="C196" s="1" t="s">
        <v>21</v>
      </c>
      <c r="F196" s="23">
        <v>30</v>
      </c>
      <c r="G196" s="4">
        <v>471030</v>
      </c>
      <c r="H196" s="3">
        <f t="shared" si="28"/>
        <v>-1827824.33</v>
      </c>
      <c r="I196" s="4">
        <f t="shared" si="29"/>
        <v>-27848238658.170006</v>
      </c>
    </row>
    <row r="197" spans="1:12" ht="15" customHeight="1" x14ac:dyDescent="0.2">
      <c r="A197" s="2">
        <v>44868</v>
      </c>
      <c r="C197" s="1" t="s">
        <v>79</v>
      </c>
      <c r="F197" s="44">
        <v>166769.75</v>
      </c>
      <c r="G197" s="4">
        <v>2610280127</v>
      </c>
      <c r="H197" s="3">
        <f t="shared" si="28"/>
        <v>-1994594.08</v>
      </c>
      <c r="I197" s="4">
        <f t="shared" si="29"/>
        <v>-30458518785.170006</v>
      </c>
    </row>
    <row r="198" spans="1:12" ht="15" customHeight="1" x14ac:dyDescent="0.2">
      <c r="A198" s="2">
        <v>44868</v>
      </c>
      <c r="C198" s="1" t="s">
        <v>21</v>
      </c>
      <c r="F198" s="44">
        <v>20</v>
      </c>
      <c r="G198" s="4">
        <v>313040</v>
      </c>
      <c r="H198" s="3">
        <f t="shared" si="28"/>
        <v>-1994614.08</v>
      </c>
      <c r="I198" s="4">
        <f t="shared" si="29"/>
        <v>-30458831825.170006</v>
      </c>
    </row>
    <row r="199" spans="1:12" ht="15" customHeight="1" x14ac:dyDescent="0.2">
      <c r="A199" s="2">
        <v>44888</v>
      </c>
      <c r="C199" s="1" t="s">
        <v>116</v>
      </c>
      <c r="D199" s="14">
        <v>50000</v>
      </c>
      <c r="E199" s="4">
        <v>768650000</v>
      </c>
      <c r="H199" s="3">
        <f t="shared" si="28"/>
        <v>-1944614.08</v>
      </c>
      <c r="I199" s="4">
        <f t="shared" si="29"/>
        <v>-29690181825.170006</v>
      </c>
    </row>
    <row r="200" spans="1:12" ht="15" customHeight="1" x14ac:dyDescent="0.2">
      <c r="A200" s="2">
        <v>44879</v>
      </c>
      <c r="C200" s="1" t="s">
        <v>26</v>
      </c>
      <c r="F200" s="3">
        <v>75018</v>
      </c>
      <c r="G200" s="4">
        <v>1162253874</v>
      </c>
      <c r="H200" s="3">
        <f t="shared" si="28"/>
        <v>-2019632.08</v>
      </c>
      <c r="I200" s="4">
        <f t="shared" si="29"/>
        <v>-30852435699.170006</v>
      </c>
    </row>
    <row r="201" spans="1:12" ht="15" customHeight="1" x14ac:dyDescent="0.2">
      <c r="A201" s="2">
        <v>44879</v>
      </c>
      <c r="C201" s="1" t="s">
        <v>17</v>
      </c>
      <c r="F201" s="3">
        <v>42</v>
      </c>
      <c r="G201" s="4">
        <v>650706</v>
      </c>
      <c r="H201" s="3">
        <f t="shared" si="28"/>
        <v>-2019674.08</v>
      </c>
      <c r="I201" s="4">
        <f t="shared" si="29"/>
        <v>-30853086405.170006</v>
      </c>
    </row>
    <row r="202" spans="1:12" ht="15" customHeight="1" x14ac:dyDescent="0.2">
      <c r="A202" s="2">
        <v>44895</v>
      </c>
      <c r="C202" s="1" t="s">
        <v>121</v>
      </c>
      <c r="D202" s="65">
        <v>222504.45</v>
      </c>
      <c r="E202" s="4">
        <v>3420560909.8499999</v>
      </c>
      <c r="H202" s="6">
        <f t="shared" si="28"/>
        <v>-1797169.6300000001</v>
      </c>
      <c r="I202" s="7">
        <f t="shared" si="29"/>
        <v>-27432525495.320007</v>
      </c>
    </row>
    <row r="204" spans="1:12" ht="15" customHeight="1" x14ac:dyDescent="0.2">
      <c r="A204" s="2">
        <v>44907</v>
      </c>
      <c r="C204" s="1" t="s">
        <v>109</v>
      </c>
      <c r="D204" s="3">
        <v>138155.48000000001</v>
      </c>
      <c r="E204" s="4">
        <v>1991925710.6400001</v>
      </c>
      <c r="H204" s="3">
        <f>+H202+D204-F204</f>
        <v>-1659014.1500000001</v>
      </c>
      <c r="I204" s="4">
        <f>+I202+E204-G204</f>
        <v>-25440599784.680008</v>
      </c>
    </row>
    <row r="205" spans="1:12" ht="15" customHeight="1" x14ac:dyDescent="0.2">
      <c r="A205" s="2">
        <v>44910</v>
      </c>
      <c r="C205" s="1" t="s">
        <v>116</v>
      </c>
      <c r="D205" s="14">
        <v>50000</v>
      </c>
      <c r="E205" s="4">
        <v>768650000</v>
      </c>
      <c r="H205" s="3">
        <f>+H204+D205-F205</f>
        <v>-1609014.1500000001</v>
      </c>
      <c r="I205" s="4">
        <f>+I204+E205-G205</f>
        <v>-24671949784.680008</v>
      </c>
    </row>
    <row r="206" spans="1:12" ht="15" customHeight="1" x14ac:dyDescent="0.2">
      <c r="A206" s="2">
        <v>44923</v>
      </c>
      <c r="C206" s="1" t="s">
        <v>116</v>
      </c>
      <c r="D206" s="14">
        <v>30000</v>
      </c>
      <c r="E206" s="4">
        <v>461190000</v>
      </c>
      <c r="H206" s="3">
        <f t="shared" ref="H206:H221" si="30">+H205+D206-F206</f>
        <v>-1579014.1500000001</v>
      </c>
      <c r="I206" s="4">
        <f t="shared" ref="I206:I222" si="31">+I205+E206-G206</f>
        <v>-24210759784.680008</v>
      </c>
    </row>
    <row r="207" spans="1:12" ht="15" customHeight="1" x14ac:dyDescent="0.2">
      <c r="A207" s="2">
        <v>44902</v>
      </c>
      <c r="C207" s="1" t="s">
        <v>117</v>
      </c>
      <c r="D207" s="3">
        <v>47000</v>
      </c>
      <c r="E207" s="4">
        <v>705517000</v>
      </c>
      <c r="H207" s="3">
        <f t="shared" si="30"/>
        <v>-1532014.1500000001</v>
      </c>
      <c r="I207" s="4">
        <f t="shared" si="31"/>
        <v>-23505242784.680008</v>
      </c>
    </row>
    <row r="208" spans="1:12" ht="15" customHeight="1" x14ac:dyDescent="0.2">
      <c r="A208" s="2">
        <v>44923</v>
      </c>
      <c r="C208" s="1" t="s">
        <v>119</v>
      </c>
      <c r="D208" s="23">
        <v>13000</v>
      </c>
      <c r="E208" s="4">
        <v>204113000</v>
      </c>
      <c r="H208" s="3">
        <f t="shared" si="30"/>
        <v>-1519014.1500000001</v>
      </c>
      <c r="I208" s="4">
        <f t="shared" si="31"/>
        <v>-23301129784.680008</v>
      </c>
    </row>
    <row r="209" spans="1:9" ht="15" customHeight="1" x14ac:dyDescent="0.2">
      <c r="A209" s="2">
        <v>44923</v>
      </c>
      <c r="C209" s="1" t="s">
        <v>117</v>
      </c>
      <c r="D209" s="3">
        <v>10000</v>
      </c>
      <c r="E209" s="4">
        <v>150110000</v>
      </c>
      <c r="H209" s="3">
        <f t="shared" si="30"/>
        <v>-1509014.1500000001</v>
      </c>
      <c r="I209" s="4">
        <f t="shared" si="31"/>
        <v>-23151019784.680008</v>
      </c>
    </row>
    <row r="210" spans="1:9" ht="15" customHeight="1" x14ac:dyDescent="0.2">
      <c r="A210" s="2">
        <v>44908</v>
      </c>
      <c r="C210" s="1" t="s">
        <v>186</v>
      </c>
      <c r="F210" s="94">
        <v>119970.6</v>
      </c>
      <c r="G210" s="95">
        <v>1876580125.2</v>
      </c>
      <c r="H210" s="3">
        <f t="shared" si="30"/>
        <v>-1628984.7500000002</v>
      </c>
      <c r="I210" s="4">
        <f t="shared" si="31"/>
        <v>-25027599909.880009</v>
      </c>
    </row>
    <row r="211" spans="1:9" ht="15" customHeight="1" x14ac:dyDescent="0.2">
      <c r="A211" s="2">
        <v>44908</v>
      </c>
      <c r="C211" s="1" t="s">
        <v>21</v>
      </c>
      <c r="F211" s="94">
        <v>30</v>
      </c>
      <c r="G211" s="95">
        <v>469260</v>
      </c>
      <c r="H211" s="3">
        <f t="shared" si="30"/>
        <v>-1629014.7500000002</v>
      </c>
      <c r="I211" s="4">
        <f t="shared" si="31"/>
        <v>-25028069169.880009</v>
      </c>
    </row>
    <row r="212" spans="1:9" ht="15" customHeight="1" x14ac:dyDescent="0.2">
      <c r="A212" s="2">
        <v>44909</v>
      </c>
      <c r="C212" s="1" t="s">
        <v>120</v>
      </c>
      <c r="D212" s="44">
        <v>166789.75</v>
      </c>
      <c r="E212" s="4">
        <v>2610593167</v>
      </c>
      <c r="H212" s="3">
        <f t="shared" si="30"/>
        <v>-1462225.0000000002</v>
      </c>
      <c r="I212" s="4">
        <f t="shared" si="31"/>
        <v>-22417476002.880009</v>
      </c>
    </row>
    <row r="213" spans="1:9" ht="15" customHeight="1" x14ac:dyDescent="0.2">
      <c r="A213" s="2">
        <v>44909</v>
      </c>
      <c r="C213" s="1" t="s">
        <v>122</v>
      </c>
      <c r="D213" s="66">
        <v>182713.3</v>
      </c>
      <c r="E213" s="4">
        <v>2839730108.5999999</v>
      </c>
      <c r="H213" s="3">
        <f t="shared" si="30"/>
        <v>-1279511.7000000002</v>
      </c>
      <c r="I213" s="4">
        <f t="shared" si="31"/>
        <v>-19577745894.28001</v>
      </c>
    </row>
    <row r="214" spans="1:9" ht="15" customHeight="1" x14ac:dyDescent="0.2">
      <c r="A214" s="2">
        <v>44911</v>
      </c>
      <c r="C214" s="1" t="s">
        <v>124</v>
      </c>
      <c r="F214" s="3">
        <v>21460</v>
      </c>
      <c r="G214" s="4">
        <v>335419800</v>
      </c>
      <c r="H214" s="3">
        <f t="shared" si="30"/>
        <v>-1300971.7000000002</v>
      </c>
      <c r="I214" s="4">
        <f t="shared" si="31"/>
        <v>-19913165694.28001</v>
      </c>
    </row>
    <row r="215" spans="1:9" ht="15" customHeight="1" x14ac:dyDescent="0.2">
      <c r="A215" s="2">
        <v>44911</v>
      </c>
      <c r="C215" s="1" t="s">
        <v>17</v>
      </c>
      <c r="F215" s="3">
        <v>188.2</v>
      </c>
      <c r="G215" s="4">
        <v>2941566</v>
      </c>
      <c r="H215" s="3">
        <f t="shared" si="30"/>
        <v>-1301159.9000000001</v>
      </c>
      <c r="I215" s="4">
        <f t="shared" si="31"/>
        <v>-19916107260.28001</v>
      </c>
    </row>
    <row r="216" spans="1:9" ht="15" customHeight="1" x14ac:dyDescent="0.2">
      <c r="A216" s="2">
        <v>44901</v>
      </c>
      <c r="C216" s="1" t="s">
        <v>39</v>
      </c>
      <c r="F216" s="18">
        <v>14761.5</v>
      </c>
      <c r="G216" s="4">
        <v>227459953.5</v>
      </c>
      <c r="H216" s="3">
        <f t="shared" si="30"/>
        <v>-1315921.4000000001</v>
      </c>
      <c r="I216" s="4">
        <f t="shared" si="31"/>
        <v>-20143567213.78001</v>
      </c>
    </row>
    <row r="217" spans="1:9" ht="15" customHeight="1" x14ac:dyDescent="0.2">
      <c r="A217" s="2">
        <v>44901</v>
      </c>
      <c r="C217" s="1" t="s">
        <v>39</v>
      </c>
      <c r="F217" s="18">
        <v>14761.5</v>
      </c>
      <c r="G217" s="4">
        <v>227459953.5</v>
      </c>
      <c r="H217" s="3">
        <f t="shared" si="30"/>
        <v>-1330682.9000000001</v>
      </c>
      <c r="I217" s="4">
        <f t="shared" si="31"/>
        <v>-20371027167.28001</v>
      </c>
    </row>
    <row r="218" spans="1:9" ht="15" customHeight="1" x14ac:dyDescent="0.2">
      <c r="A218" s="2">
        <v>44901</v>
      </c>
      <c r="C218" s="1" t="s">
        <v>39</v>
      </c>
      <c r="F218" s="3">
        <v>14761.5</v>
      </c>
      <c r="G218" s="4">
        <v>227459953.5</v>
      </c>
      <c r="H218" s="3">
        <f t="shared" si="30"/>
        <v>-1345444.4000000001</v>
      </c>
      <c r="I218" s="4">
        <f t="shared" si="31"/>
        <v>-20598487120.78001</v>
      </c>
    </row>
    <row r="219" spans="1:9" ht="15" customHeight="1" x14ac:dyDescent="0.2">
      <c r="A219" s="2">
        <v>44901</v>
      </c>
      <c r="C219" s="1" t="s">
        <v>39</v>
      </c>
      <c r="F219" s="3">
        <v>14761.5</v>
      </c>
      <c r="G219" s="4">
        <v>227459953.5</v>
      </c>
      <c r="H219" s="3">
        <f t="shared" si="30"/>
        <v>-1360205.9000000001</v>
      </c>
      <c r="I219" s="4">
        <f t="shared" si="31"/>
        <v>-20825947074.28001</v>
      </c>
    </row>
    <row r="220" spans="1:9" ht="15" customHeight="1" x14ac:dyDescent="0.2">
      <c r="A220" s="2">
        <v>44901</v>
      </c>
      <c r="C220" s="1" t="s">
        <v>17</v>
      </c>
      <c r="F220" s="3">
        <v>42</v>
      </c>
      <c r="G220" s="4">
        <v>647178</v>
      </c>
      <c r="H220" s="3">
        <f t="shared" si="30"/>
        <v>-1360247.9000000001</v>
      </c>
      <c r="I220" s="4">
        <f t="shared" si="31"/>
        <v>-20826594252.28001</v>
      </c>
    </row>
    <row r="221" spans="1:9" ht="15" customHeight="1" x14ac:dyDescent="0.2">
      <c r="A221" s="2">
        <v>44908</v>
      </c>
      <c r="C221" s="1" t="s">
        <v>226</v>
      </c>
      <c r="F221" s="3">
        <v>79610.399999999994</v>
      </c>
      <c r="G221" s="4">
        <v>1245265876.8</v>
      </c>
      <c r="H221" s="3">
        <f t="shared" si="30"/>
        <v>-1439858.3</v>
      </c>
      <c r="I221" s="4">
        <f t="shared" si="31"/>
        <v>-22071860129.080009</v>
      </c>
    </row>
    <row r="222" spans="1:9" ht="15" customHeight="1" x14ac:dyDescent="0.2">
      <c r="A222" s="2">
        <v>44908</v>
      </c>
      <c r="C222" s="1" t="s">
        <v>17</v>
      </c>
      <c r="F222" s="3">
        <v>30</v>
      </c>
      <c r="G222" s="4">
        <v>469260</v>
      </c>
      <c r="H222" s="6">
        <f>+H221+D222-F222</f>
        <v>-1439888.3</v>
      </c>
      <c r="I222" s="7">
        <f t="shared" si="31"/>
        <v>-22072329389.080009</v>
      </c>
    </row>
    <row r="224" spans="1:9" ht="15" customHeight="1" x14ac:dyDescent="0.2">
      <c r="C224" s="1" t="s">
        <v>9</v>
      </c>
      <c r="H224" s="3">
        <v>-1439888.3</v>
      </c>
      <c r="I224" s="4">
        <v>-22072329389.080009</v>
      </c>
    </row>
    <row r="225" spans="1:9" ht="15" customHeight="1" x14ac:dyDescent="0.2">
      <c r="A225" s="2">
        <v>44929</v>
      </c>
      <c r="C225" s="1" t="s">
        <v>39</v>
      </c>
      <c r="F225" s="3">
        <v>44674</v>
      </c>
      <c r="G225" s="4">
        <v>695663528</v>
      </c>
      <c r="H225" s="3">
        <f>+H224+D225-F225</f>
        <v>-1484562.3</v>
      </c>
      <c r="I225" s="4">
        <f>+I224+E225-G225</f>
        <v>-22767992917.080009</v>
      </c>
    </row>
    <row r="226" spans="1:9" ht="15" customHeight="1" x14ac:dyDescent="0.2">
      <c r="A226" s="2">
        <v>44929</v>
      </c>
      <c r="C226" s="1" t="s">
        <v>17</v>
      </c>
      <c r="F226" s="3">
        <v>42</v>
      </c>
      <c r="G226" s="4">
        <v>654024</v>
      </c>
      <c r="H226" s="3">
        <f t="shared" ref="H226:H239" si="32">+H225+D226-F226</f>
        <v>-1484604.3</v>
      </c>
      <c r="I226" s="4">
        <f t="shared" ref="I226:I239" si="33">+I225+E226-G226</f>
        <v>-22768646941.080009</v>
      </c>
    </row>
    <row r="227" spans="1:9" ht="15" customHeight="1" x14ac:dyDescent="0.2">
      <c r="A227" s="2">
        <v>44936</v>
      </c>
      <c r="C227" s="1" t="s">
        <v>154</v>
      </c>
      <c r="D227" s="3">
        <v>10000</v>
      </c>
      <c r="E227" s="4">
        <v>150110000</v>
      </c>
      <c r="H227" s="3">
        <f t="shared" si="32"/>
        <v>-1474604.3</v>
      </c>
      <c r="I227" s="4">
        <f t="shared" si="33"/>
        <v>-22618536941.080009</v>
      </c>
    </row>
    <row r="228" spans="1:9" ht="15" customHeight="1" x14ac:dyDescent="0.2">
      <c r="A228" s="2">
        <v>44936</v>
      </c>
      <c r="C228" s="1" t="s">
        <v>155</v>
      </c>
      <c r="D228" s="23">
        <v>10000</v>
      </c>
      <c r="E228" s="4">
        <v>157010000</v>
      </c>
      <c r="H228" s="3">
        <f t="shared" si="32"/>
        <v>-1464604.3</v>
      </c>
      <c r="I228" s="4">
        <f t="shared" si="33"/>
        <v>-22461526941.080009</v>
      </c>
    </row>
    <row r="229" spans="1:9" ht="15" customHeight="1" x14ac:dyDescent="0.2">
      <c r="A229" s="76">
        <v>44937</v>
      </c>
      <c r="C229" s="75" t="s">
        <v>468</v>
      </c>
      <c r="D229" s="77">
        <v>16918</v>
      </c>
      <c r="E229" s="185">
        <v>263734702</v>
      </c>
      <c r="F229" s="77"/>
      <c r="G229" s="185"/>
      <c r="H229" s="3">
        <f t="shared" ref="H229:H230" si="34">+H228+D229-F229</f>
        <v>-1447686.3</v>
      </c>
      <c r="I229" s="4">
        <f t="shared" ref="I229:I230" si="35">+I228+E229-G229</f>
        <v>-22197792239.080009</v>
      </c>
    </row>
    <row r="230" spans="1:9" ht="15" customHeight="1" x14ac:dyDescent="0.2">
      <c r="A230" s="2">
        <v>44937</v>
      </c>
      <c r="C230" s="1" t="s">
        <v>39</v>
      </c>
      <c r="F230" s="3">
        <v>16891</v>
      </c>
      <c r="G230" s="4">
        <v>263313799</v>
      </c>
      <c r="H230" s="3">
        <f t="shared" si="34"/>
        <v>-1464577.3</v>
      </c>
      <c r="I230" s="4">
        <f t="shared" si="35"/>
        <v>-22461106038.080009</v>
      </c>
    </row>
    <row r="231" spans="1:9" ht="15" customHeight="1" x14ac:dyDescent="0.2">
      <c r="A231" s="2">
        <v>44937</v>
      </c>
      <c r="C231" s="1" t="s">
        <v>17</v>
      </c>
      <c r="F231" s="3">
        <v>27</v>
      </c>
      <c r="G231" s="4">
        <v>420903</v>
      </c>
      <c r="H231" s="3">
        <f t="shared" si="32"/>
        <v>-1464604.3</v>
      </c>
      <c r="I231" s="4">
        <f t="shared" si="33"/>
        <v>-22461526941.080009</v>
      </c>
    </row>
    <row r="232" spans="1:9" ht="15" customHeight="1" x14ac:dyDescent="0.2">
      <c r="A232" s="2">
        <v>44939</v>
      </c>
      <c r="C232" s="1" t="s">
        <v>237</v>
      </c>
      <c r="F232" s="146">
        <v>75138</v>
      </c>
      <c r="G232" s="145">
        <v>1154570508</v>
      </c>
      <c r="H232" s="3">
        <f t="shared" si="32"/>
        <v>-1539742.3</v>
      </c>
      <c r="I232" s="4">
        <f t="shared" si="33"/>
        <v>-23616097449.080009</v>
      </c>
    </row>
    <row r="233" spans="1:9" ht="15" customHeight="1" x14ac:dyDescent="0.2">
      <c r="A233" s="2">
        <v>44939</v>
      </c>
      <c r="C233" s="1" t="s">
        <v>17</v>
      </c>
      <c r="F233" s="146">
        <v>30</v>
      </c>
      <c r="G233" s="145">
        <v>460980</v>
      </c>
      <c r="H233" s="3">
        <f t="shared" si="32"/>
        <v>-1539772.3</v>
      </c>
      <c r="I233" s="4">
        <f t="shared" si="33"/>
        <v>-23616558429.080009</v>
      </c>
    </row>
    <row r="234" spans="1:9" ht="15" customHeight="1" x14ac:dyDescent="0.2">
      <c r="A234" s="2">
        <v>44939</v>
      </c>
      <c r="C234" s="1" t="s">
        <v>160</v>
      </c>
      <c r="D234" s="17">
        <v>49526.400000000001</v>
      </c>
      <c r="E234" s="32">
        <v>736705695.26400006</v>
      </c>
      <c r="H234" s="3">
        <f t="shared" si="32"/>
        <v>-1490245.9000000001</v>
      </c>
      <c r="I234" s="4">
        <f t="shared" si="33"/>
        <v>-22879852733.81601</v>
      </c>
    </row>
    <row r="235" spans="1:9" ht="15" customHeight="1" x14ac:dyDescent="0.2">
      <c r="A235" s="2">
        <v>44943</v>
      </c>
      <c r="C235" s="1" t="s">
        <v>156</v>
      </c>
      <c r="D235" s="91">
        <v>14720</v>
      </c>
      <c r="E235" s="25">
        <v>229573120</v>
      </c>
      <c r="H235" s="3">
        <f t="shared" si="32"/>
        <v>-1475525.9000000001</v>
      </c>
      <c r="I235" s="4">
        <f t="shared" si="33"/>
        <v>-22650279613.81601</v>
      </c>
    </row>
    <row r="236" spans="1:9" ht="15" customHeight="1" x14ac:dyDescent="0.2">
      <c r="A236" s="2">
        <v>44943</v>
      </c>
      <c r="C236" s="1" t="s">
        <v>156</v>
      </c>
      <c r="D236" s="91">
        <v>14720</v>
      </c>
      <c r="E236" s="25">
        <v>229573120</v>
      </c>
      <c r="H236" s="3">
        <f t="shared" si="32"/>
        <v>-1460805.9000000001</v>
      </c>
      <c r="I236" s="4">
        <f t="shared" si="33"/>
        <v>-22420706493.81601</v>
      </c>
    </row>
    <row r="237" spans="1:9" ht="15" customHeight="1" x14ac:dyDescent="0.2">
      <c r="A237" s="2">
        <v>44943</v>
      </c>
      <c r="C237" s="1" t="s">
        <v>156</v>
      </c>
      <c r="D237" s="91">
        <v>15120</v>
      </c>
      <c r="E237" s="72">
        <v>235811520</v>
      </c>
      <c r="H237" s="3">
        <f t="shared" si="32"/>
        <v>-1445685.9000000001</v>
      </c>
      <c r="I237" s="4">
        <f t="shared" si="33"/>
        <v>-22184894973.81601</v>
      </c>
    </row>
    <row r="238" spans="1:9" ht="15" customHeight="1" x14ac:dyDescent="0.2">
      <c r="A238" s="2">
        <v>44945</v>
      </c>
      <c r="C238" s="1" t="s">
        <v>157</v>
      </c>
      <c r="D238" s="23">
        <v>29558.799999999999</v>
      </c>
      <c r="E238" s="4">
        <v>464102718.80000001</v>
      </c>
      <c r="H238" s="3">
        <f t="shared" si="32"/>
        <v>-1416127.1</v>
      </c>
      <c r="I238" s="4">
        <f t="shared" si="33"/>
        <v>-21720792255.01601</v>
      </c>
    </row>
    <row r="239" spans="1:9" ht="15" customHeight="1" x14ac:dyDescent="0.2">
      <c r="A239" s="2">
        <v>44945</v>
      </c>
      <c r="C239" s="1" t="s">
        <v>17</v>
      </c>
      <c r="D239" s="23">
        <v>30</v>
      </c>
      <c r="E239" s="4">
        <v>471030</v>
      </c>
      <c r="H239" s="3">
        <f t="shared" si="32"/>
        <v>-1416097.1</v>
      </c>
      <c r="I239" s="4">
        <f t="shared" si="33"/>
        <v>-21720321225.01601</v>
      </c>
    </row>
    <row r="240" spans="1:9" ht="15" customHeight="1" x14ac:dyDescent="0.2">
      <c r="A240" s="2">
        <v>44946</v>
      </c>
      <c r="C240" s="1" t="s">
        <v>158</v>
      </c>
      <c r="D240" s="3">
        <v>15172</v>
      </c>
      <c r="E240" s="4">
        <v>235059796</v>
      </c>
      <c r="H240" s="3">
        <f t="shared" ref="H240" si="36">+H239+D240-F240</f>
        <v>-1400925.1</v>
      </c>
      <c r="I240" s="4">
        <f t="shared" ref="I240" si="37">+I239+E240-G240</f>
        <v>-21485261429.01601</v>
      </c>
    </row>
    <row r="241" spans="1:9" ht="15" customHeight="1" x14ac:dyDescent="0.2">
      <c r="A241" s="2">
        <v>44932</v>
      </c>
      <c r="C241" s="1" t="s">
        <v>460</v>
      </c>
      <c r="D241" s="3">
        <v>10000</v>
      </c>
      <c r="E241" s="4">
        <v>143540000</v>
      </c>
      <c r="H241" s="3">
        <f>+H240+D241-F241</f>
        <v>-1390925.1</v>
      </c>
      <c r="I241" s="4">
        <f>+I240+E241-G241</f>
        <v>-21341721429.01601</v>
      </c>
    </row>
    <row r="242" spans="1:9" ht="15" customHeight="1" x14ac:dyDescent="0.2">
      <c r="A242" s="2">
        <v>44928</v>
      </c>
      <c r="C242" s="1" t="s">
        <v>455</v>
      </c>
      <c r="D242" s="3">
        <v>268285.40999999997</v>
      </c>
      <c r="E242" s="4">
        <v>4076865090.3600001</v>
      </c>
      <c r="H242" s="6">
        <f t="shared" ref="H242" si="38">+H241+D242-F242</f>
        <v>-1122639.6900000002</v>
      </c>
      <c r="I242" s="7">
        <f t="shared" ref="I242" si="39">+I241+E242-G242</f>
        <v>-17264856338.65601</v>
      </c>
    </row>
    <row r="243" spans="1:9" ht="15" customHeight="1" x14ac:dyDescent="0.2">
      <c r="H243" s="6"/>
      <c r="I243" s="7"/>
    </row>
    <row r="244" spans="1:9" ht="15" customHeight="1" x14ac:dyDescent="0.2">
      <c r="H244" s="6"/>
      <c r="I244" s="7"/>
    </row>
    <row r="246" spans="1:9" ht="15" customHeight="1" x14ac:dyDescent="0.2">
      <c r="A246" s="2">
        <v>44958</v>
      </c>
      <c r="C246" s="1" t="s">
        <v>175</v>
      </c>
      <c r="D246" s="94">
        <v>30000</v>
      </c>
      <c r="E246" s="95">
        <v>469260000</v>
      </c>
      <c r="H246" s="3">
        <f>+H242+D246-F246</f>
        <v>-1092639.6900000002</v>
      </c>
      <c r="I246" s="4">
        <f>+I242+E246-G246</f>
        <v>-16795596338.65601</v>
      </c>
    </row>
    <row r="247" spans="1:9" ht="15" customHeight="1" x14ac:dyDescent="0.2">
      <c r="A247" s="2">
        <v>44966</v>
      </c>
      <c r="C247" s="1" t="s">
        <v>179</v>
      </c>
      <c r="D247" s="14">
        <f>42270.8</f>
        <v>42270.8</v>
      </c>
      <c r="E247" s="4">
        <v>649829008.39999998</v>
      </c>
      <c r="H247" s="3">
        <f>+H246+D247-F247</f>
        <v>-1050368.8900000001</v>
      </c>
      <c r="I247" s="4">
        <f>+I246+E247-G247</f>
        <v>-16145767330.25601</v>
      </c>
    </row>
    <row r="248" spans="1:9" ht="15" customHeight="1" x14ac:dyDescent="0.2">
      <c r="A248" s="2">
        <v>44966</v>
      </c>
      <c r="C248" s="1" t="s">
        <v>182</v>
      </c>
      <c r="D248" s="93">
        <v>30000</v>
      </c>
      <c r="E248" s="4">
        <v>469260000</v>
      </c>
      <c r="H248" s="3">
        <f t="shared" ref="H248:H292" si="40">+H247+D248-F248</f>
        <v>-1020368.8900000001</v>
      </c>
      <c r="I248" s="4">
        <f t="shared" ref="I248:I292" si="41">+I247+E248-G248</f>
        <v>-15676507330.25601</v>
      </c>
    </row>
    <row r="249" spans="1:9" ht="15" customHeight="1" x14ac:dyDescent="0.2">
      <c r="A249" s="2">
        <v>44963</v>
      </c>
      <c r="C249" s="1" t="s">
        <v>191</v>
      </c>
      <c r="D249" s="14">
        <v>22866</v>
      </c>
      <c r="E249" s="4">
        <v>347471736</v>
      </c>
      <c r="H249" s="3">
        <f t="shared" si="40"/>
        <v>-997502.89000000013</v>
      </c>
      <c r="I249" s="4">
        <f t="shared" si="41"/>
        <v>-15329035594.25601</v>
      </c>
    </row>
    <row r="250" spans="1:9" ht="15" customHeight="1" x14ac:dyDescent="0.2">
      <c r="A250" s="2">
        <v>44973</v>
      </c>
      <c r="C250" s="1" t="s">
        <v>175</v>
      </c>
      <c r="D250" s="94">
        <v>36000</v>
      </c>
      <c r="E250" s="95">
        <v>563112000</v>
      </c>
      <c r="H250" s="3">
        <f t="shared" si="40"/>
        <v>-961502.89000000013</v>
      </c>
      <c r="I250" s="4">
        <f t="shared" si="41"/>
        <v>-14765923594.25601</v>
      </c>
    </row>
    <row r="251" spans="1:9" ht="15" customHeight="1" x14ac:dyDescent="0.2">
      <c r="A251" s="2">
        <v>44973</v>
      </c>
      <c r="C251" s="1" t="s">
        <v>184</v>
      </c>
      <c r="D251" s="146">
        <v>8000</v>
      </c>
      <c r="E251" s="145">
        <v>122928000</v>
      </c>
      <c r="H251" s="3">
        <f t="shared" si="40"/>
        <v>-953502.89000000013</v>
      </c>
      <c r="I251" s="4">
        <f t="shared" si="41"/>
        <v>-14642995594.25601</v>
      </c>
    </row>
    <row r="252" spans="1:9" ht="15" customHeight="1" x14ac:dyDescent="0.2">
      <c r="A252" s="2">
        <v>44981</v>
      </c>
      <c r="C252" s="1" t="s">
        <v>175</v>
      </c>
      <c r="D252" s="94">
        <v>54000.6</v>
      </c>
      <c r="E252" s="95">
        <v>844677385.20000005</v>
      </c>
      <c r="H252" s="3">
        <f t="shared" si="40"/>
        <v>-899502.29000000015</v>
      </c>
      <c r="I252" s="4">
        <f t="shared" si="41"/>
        <v>-13798318209.056009</v>
      </c>
    </row>
    <row r="253" spans="1:9" ht="15" customHeight="1" x14ac:dyDescent="0.2">
      <c r="A253" s="2">
        <v>44981</v>
      </c>
      <c r="C253" s="1" t="s">
        <v>184</v>
      </c>
      <c r="D253" s="146">
        <v>22000</v>
      </c>
      <c r="E253" s="145">
        <v>338052000</v>
      </c>
      <c r="H253" s="3">
        <f t="shared" si="40"/>
        <v>-877502.29000000015</v>
      </c>
      <c r="I253" s="4">
        <f t="shared" si="41"/>
        <v>-13460266209.056009</v>
      </c>
    </row>
    <row r="254" spans="1:9" ht="15" customHeight="1" x14ac:dyDescent="0.2">
      <c r="A254" s="2">
        <v>44960</v>
      </c>
      <c r="C254" s="1" t="s">
        <v>195</v>
      </c>
      <c r="F254" s="3">
        <v>19637</v>
      </c>
      <c r="G254" s="4">
        <v>291962916</v>
      </c>
      <c r="H254" s="3">
        <f t="shared" si="40"/>
        <v>-897139.29000000015</v>
      </c>
      <c r="I254" s="4">
        <f t="shared" si="41"/>
        <v>-13752229125.056009</v>
      </c>
    </row>
    <row r="255" spans="1:9" ht="15" customHeight="1" x14ac:dyDescent="0.2">
      <c r="A255" s="2">
        <v>44960</v>
      </c>
      <c r="C255" s="1" t="s">
        <v>17</v>
      </c>
      <c r="F255" s="3">
        <v>37</v>
      </c>
      <c r="G255" s="4">
        <v>550116</v>
      </c>
      <c r="H255" s="3">
        <f t="shared" si="40"/>
        <v>-897176.29000000015</v>
      </c>
      <c r="I255" s="4">
        <f t="shared" si="41"/>
        <v>-13752779241.056009</v>
      </c>
    </row>
    <row r="256" spans="1:9" ht="15" customHeight="1" x14ac:dyDescent="0.2">
      <c r="A256" s="2">
        <v>44964</v>
      </c>
      <c r="C256" s="1" t="s">
        <v>188</v>
      </c>
      <c r="F256" s="18">
        <v>166971.5</v>
      </c>
      <c r="G256" s="98">
        <v>2513755932.5</v>
      </c>
      <c r="H256" s="3">
        <f t="shared" si="40"/>
        <v>-1064147.79</v>
      </c>
      <c r="I256" s="4">
        <f t="shared" si="41"/>
        <v>-16266535173.556009</v>
      </c>
    </row>
    <row r="257" spans="1:9" ht="15" customHeight="1" x14ac:dyDescent="0.2">
      <c r="A257" s="2">
        <v>44964</v>
      </c>
      <c r="C257" s="1" t="s">
        <v>17</v>
      </c>
      <c r="F257" s="97">
        <v>37</v>
      </c>
      <c r="G257" s="98">
        <v>557035</v>
      </c>
      <c r="H257" s="3">
        <f t="shared" si="40"/>
        <v>-1064184.79</v>
      </c>
      <c r="I257" s="4">
        <f t="shared" si="41"/>
        <v>-16267092208.556009</v>
      </c>
    </row>
    <row r="258" spans="1:9" ht="15" customHeight="1" x14ac:dyDescent="0.2">
      <c r="A258" s="2">
        <v>44970</v>
      </c>
      <c r="C258" s="1" t="s">
        <v>190</v>
      </c>
      <c r="F258" s="3">
        <v>104061.4</v>
      </c>
      <c r="G258" s="4">
        <v>1575489596</v>
      </c>
      <c r="H258" s="3">
        <f t="shared" si="40"/>
        <v>-1168246.19</v>
      </c>
      <c r="I258" s="4">
        <f t="shared" si="41"/>
        <v>-17842581804.556007</v>
      </c>
    </row>
    <row r="259" spans="1:9" ht="15" customHeight="1" x14ac:dyDescent="0.2">
      <c r="A259" s="2">
        <v>44970</v>
      </c>
      <c r="C259" s="1" t="s">
        <v>17</v>
      </c>
      <c r="F259" s="3">
        <v>30</v>
      </c>
      <c r="G259" s="4">
        <v>454200</v>
      </c>
      <c r="H259" s="3">
        <f t="shared" si="40"/>
        <v>-1168276.19</v>
      </c>
      <c r="I259" s="4">
        <f t="shared" si="41"/>
        <v>-17843036004.556007</v>
      </c>
    </row>
    <row r="260" spans="1:9" ht="15" customHeight="1" x14ac:dyDescent="0.2">
      <c r="A260" s="2">
        <v>44972</v>
      </c>
      <c r="B260" s="2"/>
      <c r="C260" s="1" t="s">
        <v>192</v>
      </c>
      <c r="F260" s="18">
        <v>150707.67000000001</v>
      </c>
      <c r="G260" s="4">
        <v>2285933938.5599999</v>
      </c>
      <c r="H260" s="3">
        <f t="shared" si="40"/>
        <v>-1318983.8599999999</v>
      </c>
      <c r="I260" s="4">
        <f t="shared" si="41"/>
        <v>-20128969943.116009</v>
      </c>
    </row>
    <row r="261" spans="1:9" ht="15" customHeight="1" x14ac:dyDescent="0.2">
      <c r="A261" s="2">
        <v>44972</v>
      </c>
      <c r="B261" s="2"/>
      <c r="C261" s="1" t="s">
        <v>17</v>
      </c>
      <c r="F261" s="18">
        <v>75</v>
      </c>
      <c r="G261" s="4">
        <v>1137600</v>
      </c>
      <c r="H261" s="3">
        <f t="shared" si="40"/>
        <v>-1319058.8599999999</v>
      </c>
      <c r="I261" s="4">
        <f t="shared" si="41"/>
        <v>-20130107543.116009</v>
      </c>
    </row>
    <row r="262" spans="1:9" ht="15" customHeight="1" x14ac:dyDescent="0.2">
      <c r="A262" s="2">
        <v>44980</v>
      </c>
      <c r="C262" s="1" t="s">
        <v>124</v>
      </c>
      <c r="F262" s="3">
        <v>50234.66</v>
      </c>
      <c r="G262" s="4">
        <v>764471055.88</v>
      </c>
      <c r="H262" s="3">
        <f t="shared" si="40"/>
        <v>-1369293.5199999998</v>
      </c>
      <c r="I262" s="4">
        <f t="shared" si="41"/>
        <v>-20894578598.99601</v>
      </c>
    </row>
    <row r="263" spans="1:9" ht="15" customHeight="1" x14ac:dyDescent="0.2">
      <c r="A263" s="2">
        <v>44980</v>
      </c>
      <c r="C263" s="1" t="s">
        <v>17</v>
      </c>
      <c r="F263" s="3">
        <v>50</v>
      </c>
      <c r="G263" s="4">
        <v>760900</v>
      </c>
      <c r="H263" s="3">
        <f t="shared" si="40"/>
        <v>-1369343.5199999998</v>
      </c>
      <c r="I263" s="4">
        <f t="shared" si="41"/>
        <v>-20895339498.99601</v>
      </c>
    </row>
    <row r="264" spans="1:9" ht="15" customHeight="1" x14ac:dyDescent="0.2">
      <c r="A264" s="2">
        <v>44981</v>
      </c>
      <c r="B264" s="2"/>
      <c r="C264" s="1" t="s">
        <v>188</v>
      </c>
      <c r="F264" s="97">
        <v>159075.85</v>
      </c>
      <c r="G264" s="4">
        <v>2415884933.9499998</v>
      </c>
      <c r="H264" s="3">
        <f t="shared" si="40"/>
        <v>-1528419.3699999999</v>
      </c>
      <c r="I264" s="4">
        <f t="shared" si="41"/>
        <v>-23311224432.946011</v>
      </c>
    </row>
    <row r="265" spans="1:9" ht="15" customHeight="1" x14ac:dyDescent="0.2">
      <c r="A265" s="2">
        <v>44981</v>
      </c>
      <c r="B265" s="2"/>
      <c r="C265" s="1" t="s">
        <v>17</v>
      </c>
      <c r="F265" s="97">
        <v>25</v>
      </c>
      <c r="G265" s="4">
        <v>379675</v>
      </c>
      <c r="H265" s="3">
        <f t="shared" si="40"/>
        <v>-1528444.3699999999</v>
      </c>
      <c r="I265" s="4">
        <f t="shared" si="41"/>
        <v>-23311604107.946011</v>
      </c>
    </row>
    <row r="266" spans="1:9" ht="15" customHeight="1" x14ac:dyDescent="0.2">
      <c r="A266" s="2">
        <v>44984</v>
      </c>
      <c r="C266" s="1" t="s">
        <v>124</v>
      </c>
      <c r="F266" s="3">
        <v>228.2</v>
      </c>
      <c r="G266" s="4">
        <v>3472291.2</v>
      </c>
      <c r="H266" s="3">
        <f t="shared" si="40"/>
        <v>-1528672.5699999998</v>
      </c>
      <c r="I266" s="4">
        <f t="shared" si="41"/>
        <v>-23315076399.146011</v>
      </c>
    </row>
    <row r="267" spans="1:9" ht="15" customHeight="1" x14ac:dyDescent="0.2">
      <c r="A267" s="2">
        <v>44984</v>
      </c>
      <c r="C267" s="1" t="s">
        <v>313</v>
      </c>
      <c r="F267" s="16">
        <v>138472.79999999999</v>
      </c>
      <c r="G267" s="188">
        <v>2107002124.8</v>
      </c>
      <c r="H267" s="3">
        <f t="shared" si="40"/>
        <v>-1667145.3699999999</v>
      </c>
      <c r="I267" s="4">
        <f t="shared" si="41"/>
        <v>-25422078523.946011</v>
      </c>
    </row>
    <row r="268" spans="1:9" ht="15" customHeight="1" x14ac:dyDescent="0.2">
      <c r="A268" s="2">
        <v>44984</v>
      </c>
      <c r="C268" s="1" t="s">
        <v>17</v>
      </c>
      <c r="F268" s="16">
        <v>30</v>
      </c>
      <c r="G268" s="188">
        <v>456480</v>
      </c>
      <c r="H268" s="3">
        <f t="shared" si="40"/>
        <v>-1667175.3699999999</v>
      </c>
      <c r="I268" s="4">
        <f t="shared" si="41"/>
        <v>-25422535003.946011</v>
      </c>
    </row>
    <row r="269" spans="1:9" ht="15" customHeight="1" x14ac:dyDescent="0.2">
      <c r="A269" s="2">
        <v>44986</v>
      </c>
      <c r="C269" s="1" t="s">
        <v>207</v>
      </c>
      <c r="D269" s="18">
        <v>14772</v>
      </c>
      <c r="E269" s="4">
        <v>227621748</v>
      </c>
      <c r="H269" s="3">
        <f t="shared" si="40"/>
        <v>-1652403.3699999999</v>
      </c>
      <c r="I269" s="4">
        <f t="shared" si="41"/>
        <v>-25194913255.946011</v>
      </c>
    </row>
    <row r="270" spans="1:9" ht="15" customHeight="1" x14ac:dyDescent="0.2">
      <c r="A270" s="2">
        <v>44995</v>
      </c>
      <c r="C270" s="1" t="s">
        <v>210</v>
      </c>
      <c r="F270" s="3">
        <v>59282.31</v>
      </c>
      <c r="G270" s="4">
        <v>915200301.77999997</v>
      </c>
      <c r="H270" s="3">
        <f t="shared" si="40"/>
        <v>-1711685.68</v>
      </c>
      <c r="I270" s="4">
        <f t="shared" si="41"/>
        <v>-26110113557.726009</v>
      </c>
    </row>
    <row r="271" spans="1:9" ht="15" customHeight="1" x14ac:dyDescent="0.2">
      <c r="A271" s="2">
        <v>44995</v>
      </c>
      <c r="C271" s="1" t="s">
        <v>17</v>
      </c>
      <c r="F271" s="3">
        <v>41</v>
      </c>
      <c r="G271" s="4">
        <v>632958</v>
      </c>
      <c r="H271" s="3">
        <f t="shared" si="40"/>
        <v>-1711726.68</v>
      </c>
      <c r="I271" s="4">
        <f t="shared" si="41"/>
        <v>-26110746515.726009</v>
      </c>
    </row>
    <row r="272" spans="1:9" ht="15" customHeight="1" x14ac:dyDescent="0.2">
      <c r="A272" s="2">
        <v>44995</v>
      </c>
      <c r="B272" s="2"/>
      <c r="C272" s="1" t="s">
        <v>469</v>
      </c>
      <c r="D272" s="18">
        <v>59323.31</v>
      </c>
      <c r="E272" s="32">
        <v>915833259.77999997</v>
      </c>
      <c r="F272" s="18"/>
      <c r="G272" s="32"/>
      <c r="H272" s="3">
        <f t="shared" ref="H272:H273" si="42">+H271+D272-F272</f>
        <v>-1652403.3699999999</v>
      </c>
      <c r="I272" s="4">
        <f t="shared" ref="I272:I273" si="43">+I271+E272-G272</f>
        <v>-25194913255.946011</v>
      </c>
    </row>
    <row r="273" spans="1:9" ht="15" customHeight="1" x14ac:dyDescent="0.2">
      <c r="A273" s="2">
        <v>45006</v>
      </c>
      <c r="C273" s="1" t="s">
        <v>213</v>
      </c>
      <c r="D273" s="18">
        <v>159100.85</v>
      </c>
      <c r="E273" s="4">
        <v>2416264608.9499998</v>
      </c>
      <c r="H273" s="3">
        <f t="shared" si="42"/>
        <v>-1493302.5199999998</v>
      </c>
      <c r="I273" s="4">
        <f t="shared" si="43"/>
        <v>-22778648646.99601</v>
      </c>
    </row>
    <row r="274" spans="1:9" ht="15" customHeight="1" x14ac:dyDescent="0.2">
      <c r="A274" s="2">
        <v>44993</v>
      </c>
      <c r="C274" s="1" t="s">
        <v>214</v>
      </c>
      <c r="D274" s="18">
        <v>82943.55</v>
      </c>
      <c r="E274" s="98">
        <v>1248715145.25</v>
      </c>
      <c r="H274" s="3">
        <f t="shared" si="40"/>
        <v>-1410358.9699999997</v>
      </c>
      <c r="I274" s="4">
        <f t="shared" si="41"/>
        <v>-21529933501.74601</v>
      </c>
    </row>
    <row r="275" spans="1:9" ht="15" customHeight="1" x14ac:dyDescent="0.2">
      <c r="A275" s="2">
        <v>45005</v>
      </c>
      <c r="C275" s="1" t="s">
        <v>214</v>
      </c>
      <c r="D275" s="18">
        <v>84064.95</v>
      </c>
      <c r="E275" s="98">
        <v>1265597822.25</v>
      </c>
      <c r="H275" s="3">
        <f t="shared" si="40"/>
        <v>-1326294.0199999998</v>
      </c>
      <c r="I275" s="4">
        <f t="shared" si="41"/>
        <v>-20264335679.49601</v>
      </c>
    </row>
    <row r="276" spans="1:9" ht="15" customHeight="1" x14ac:dyDescent="0.2">
      <c r="A276" s="2">
        <v>44999</v>
      </c>
      <c r="C276" s="1" t="s">
        <v>188</v>
      </c>
      <c r="F276" s="3">
        <v>77743</v>
      </c>
      <c r="G276" s="4">
        <v>1195220882</v>
      </c>
      <c r="H276" s="3">
        <f t="shared" si="40"/>
        <v>-1404037.0199999998</v>
      </c>
      <c r="I276" s="4">
        <f t="shared" si="41"/>
        <v>-21459556561.49601</v>
      </c>
    </row>
    <row r="277" spans="1:9" ht="15" customHeight="1" x14ac:dyDescent="0.2">
      <c r="A277" s="2">
        <v>44999</v>
      </c>
      <c r="C277" s="1" t="s">
        <v>17</v>
      </c>
      <c r="F277" s="3">
        <v>37</v>
      </c>
      <c r="G277" s="4">
        <v>568838</v>
      </c>
      <c r="H277" s="3">
        <f t="shared" si="40"/>
        <v>-1404074.0199999998</v>
      </c>
      <c r="I277" s="4">
        <f t="shared" si="41"/>
        <v>-21460125399.49601</v>
      </c>
    </row>
    <row r="278" spans="1:9" ht="15" customHeight="1" x14ac:dyDescent="0.2">
      <c r="A278" s="2">
        <v>44999</v>
      </c>
      <c r="C278" s="1" t="s">
        <v>188</v>
      </c>
      <c r="F278" s="3">
        <v>81632</v>
      </c>
      <c r="G278" s="4">
        <v>1255010368</v>
      </c>
      <c r="H278" s="3">
        <f t="shared" si="40"/>
        <v>-1485706.0199999998</v>
      </c>
      <c r="I278" s="4">
        <f t="shared" si="41"/>
        <v>-22715135767.49601</v>
      </c>
    </row>
    <row r="279" spans="1:9" ht="15" customHeight="1" x14ac:dyDescent="0.2">
      <c r="A279" s="2">
        <v>44999</v>
      </c>
      <c r="C279" s="1" t="s">
        <v>17</v>
      </c>
      <c r="F279" s="3">
        <v>37</v>
      </c>
      <c r="G279" s="4">
        <v>568838</v>
      </c>
      <c r="H279" s="3">
        <f t="shared" si="40"/>
        <v>-1485743.0199999998</v>
      </c>
      <c r="I279" s="4">
        <f t="shared" si="41"/>
        <v>-22715704605.49601</v>
      </c>
    </row>
    <row r="280" spans="1:9" ht="15" customHeight="1" x14ac:dyDescent="0.2">
      <c r="A280" s="2">
        <v>45000</v>
      </c>
      <c r="C280" s="1" t="s">
        <v>190</v>
      </c>
      <c r="F280" s="3">
        <v>104061.4</v>
      </c>
      <c r="G280" s="4">
        <v>1600464332</v>
      </c>
      <c r="H280" s="3">
        <f t="shared" si="40"/>
        <v>-1589804.4199999997</v>
      </c>
      <c r="I280" s="4">
        <f t="shared" si="41"/>
        <v>-24316168937.49601</v>
      </c>
    </row>
    <row r="281" spans="1:9" ht="15" customHeight="1" x14ac:dyDescent="0.2">
      <c r="A281" s="2">
        <v>45000</v>
      </c>
      <c r="C281" s="1" t="s">
        <v>17</v>
      </c>
      <c r="F281" s="3">
        <v>30</v>
      </c>
      <c r="G281" s="4">
        <v>461400</v>
      </c>
      <c r="H281" s="3">
        <f t="shared" si="40"/>
        <v>-1589834.4199999997</v>
      </c>
      <c r="I281" s="4">
        <f t="shared" si="41"/>
        <v>-24316630337.49601</v>
      </c>
    </row>
    <row r="282" spans="1:9" ht="15" customHeight="1" x14ac:dyDescent="0.2">
      <c r="A282" s="2">
        <v>45009</v>
      </c>
      <c r="C282" s="1" t="s">
        <v>184</v>
      </c>
      <c r="D282" s="146">
        <v>15168</v>
      </c>
      <c r="E282" s="145">
        <v>233071488</v>
      </c>
      <c r="H282" s="3">
        <f t="shared" si="40"/>
        <v>-1574666.4199999997</v>
      </c>
      <c r="I282" s="4">
        <f t="shared" si="41"/>
        <v>-24083558849.49601</v>
      </c>
    </row>
    <row r="283" spans="1:9" ht="15" customHeight="1" x14ac:dyDescent="0.2">
      <c r="A283" s="2">
        <v>45009</v>
      </c>
      <c r="C283" s="1" t="s">
        <v>220</v>
      </c>
      <c r="D283" s="16">
        <v>27000</v>
      </c>
      <c r="E283" s="188">
        <v>410832000</v>
      </c>
      <c r="H283" s="3">
        <f t="shared" si="40"/>
        <v>-1547666.4199999997</v>
      </c>
      <c r="I283" s="4">
        <f t="shared" si="41"/>
        <v>-23672726849.49601</v>
      </c>
    </row>
    <row r="284" spans="1:9" ht="15" customHeight="1" x14ac:dyDescent="0.2">
      <c r="A284" s="2">
        <v>44988</v>
      </c>
      <c r="C284" s="1" t="s">
        <v>224</v>
      </c>
      <c r="D284" s="18">
        <v>150782.67000000001</v>
      </c>
      <c r="E284" s="4">
        <v>2287071538.5599999</v>
      </c>
      <c r="H284" s="3">
        <f t="shared" si="40"/>
        <v>-1396883.7499999998</v>
      </c>
      <c r="I284" s="4">
        <f t="shared" si="41"/>
        <v>-21385655310.936008</v>
      </c>
    </row>
    <row r="285" spans="1:9" ht="15" customHeight="1" x14ac:dyDescent="0.2">
      <c r="A285" s="2">
        <v>45000</v>
      </c>
      <c r="C285" s="1" t="s">
        <v>192</v>
      </c>
      <c r="F285" s="3">
        <v>150707.67000000001</v>
      </c>
      <c r="G285" s="4">
        <v>2317883964.5999999</v>
      </c>
      <c r="H285" s="3">
        <f t="shared" si="40"/>
        <v>-1547591.4199999997</v>
      </c>
      <c r="I285" s="4">
        <f t="shared" si="41"/>
        <v>-23703539275.536007</v>
      </c>
    </row>
    <row r="286" spans="1:9" ht="15" customHeight="1" x14ac:dyDescent="0.2">
      <c r="A286" s="2">
        <v>45000</v>
      </c>
      <c r="C286" s="1" t="s">
        <v>17</v>
      </c>
      <c r="F286" s="3">
        <v>75</v>
      </c>
      <c r="G286" s="4">
        <v>1153500</v>
      </c>
      <c r="H286" s="3">
        <f t="shared" si="40"/>
        <v>-1547666.4199999997</v>
      </c>
      <c r="I286" s="4">
        <f t="shared" si="41"/>
        <v>-23704692775.536007</v>
      </c>
    </row>
    <row r="287" spans="1:9" ht="15" customHeight="1" x14ac:dyDescent="0.2">
      <c r="A287" s="2">
        <v>45001</v>
      </c>
      <c r="C287" s="1" t="s">
        <v>17</v>
      </c>
      <c r="F287" s="3">
        <v>139580.29</v>
      </c>
      <c r="G287" s="4">
        <v>2144651155.8499999</v>
      </c>
      <c r="H287" s="3">
        <f t="shared" si="40"/>
        <v>-1687246.7099999997</v>
      </c>
      <c r="I287" s="4">
        <f t="shared" si="41"/>
        <v>-25849343931.386005</v>
      </c>
    </row>
    <row r="288" spans="1:9" ht="15" customHeight="1" x14ac:dyDescent="0.2">
      <c r="A288" s="2">
        <v>45001</v>
      </c>
      <c r="C288" s="1" t="s">
        <v>17</v>
      </c>
      <c r="F288" s="3">
        <v>43</v>
      </c>
      <c r="G288" s="4">
        <v>660695</v>
      </c>
      <c r="H288" s="3">
        <f t="shared" si="40"/>
        <v>-1687289.7099999997</v>
      </c>
      <c r="I288" s="4">
        <f t="shared" si="41"/>
        <v>-25850004626.386005</v>
      </c>
    </row>
    <row r="289" spans="1:9" ht="15" customHeight="1" x14ac:dyDescent="0.2">
      <c r="A289" s="2">
        <v>45015</v>
      </c>
      <c r="C289" s="1" t="s">
        <v>182</v>
      </c>
      <c r="D289" s="3">
        <v>24000</v>
      </c>
      <c r="E289" s="4">
        <v>375408000</v>
      </c>
      <c r="H289" s="3">
        <f t="shared" si="40"/>
        <v>-1663289.7099999997</v>
      </c>
      <c r="I289" s="4">
        <f t="shared" si="41"/>
        <v>-25474596626.386005</v>
      </c>
    </row>
    <row r="290" spans="1:9" ht="15" customHeight="1" x14ac:dyDescent="0.2">
      <c r="A290" s="2">
        <v>45005</v>
      </c>
      <c r="C290" s="1" t="s">
        <v>207</v>
      </c>
      <c r="D290" s="3">
        <v>14772</v>
      </c>
      <c r="E290" s="4">
        <v>227621748</v>
      </c>
      <c r="H290" s="3">
        <f t="shared" si="40"/>
        <v>-1648517.7099999997</v>
      </c>
      <c r="I290" s="4">
        <f t="shared" si="41"/>
        <v>-25246974878.386005</v>
      </c>
    </row>
    <row r="291" spans="1:9" ht="15" customHeight="1" x14ac:dyDescent="0.2">
      <c r="A291" s="2">
        <v>45009</v>
      </c>
      <c r="C291" s="1" t="s">
        <v>228</v>
      </c>
      <c r="F291" s="3">
        <v>59377.5</v>
      </c>
      <c r="G291" s="4">
        <v>911385247.5</v>
      </c>
      <c r="H291" s="3">
        <f t="shared" si="40"/>
        <v>-1707895.2099999997</v>
      </c>
      <c r="I291" s="4">
        <f t="shared" si="41"/>
        <v>-26158360125.886005</v>
      </c>
    </row>
    <row r="292" spans="1:9" ht="15" customHeight="1" x14ac:dyDescent="0.2">
      <c r="A292" s="2">
        <v>45009</v>
      </c>
      <c r="C292" s="1" t="s">
        <v>17</v>
      </c>
      <c r="F292" s="3">
        <v>42</v>
      </c>
      <c r="G292" s="4">
        <v>644658</v>
      </c>
      <c r="H292" s="3">
        <f t="shared" si="40"/>
        <v>-1707937.2099999997</v>
      </c>
      <c r="I292" s="4">
        <f t="shared" si="41"/>
        <v>-26159004783.886005</v>
      </c>
    </row>
    <row r="293" spans="1:9" ht="15" customHeight="1" x14ac:dyDescent="0.2">
      <c r="A293" s="2">
        <v>45009</v>
      </c>
      <c r="C293" s="1" t="s">
        <v>475</v>
      </c>
      <c r="D293" s="34">
        <v>59419.5</v>
      </c>
      <c r="E293" s="32">
        <v>912029905.5</v>
      </c>
      <c r="F293" s="34"/>
      <c r="G293" s="32"/>
      <c r="H293" s="3">
        <f t="shared" ref="H293:H295" si="44">+H292+D293-F293</f>
        <v>-1648517.7099999997</v>
      </c>
      <c r="I293" s="4">
        <f t="shared" ref="I293:I295" si="45">+I292+E293-G293</f>
        <v>-25246974878.386005</v>
      </c>
    </row>
    <row r="294" spans="1:9" ht="15" customHeight="1" x14ac:dyDescent="0.2">
      <c r="A294" s="2">
        <v>45009</v>
      </c>
      <c r="B294" s="49"/>
      <c r="C294" s="49" t="s">
        <v>476</v>
      </c>
      <c r="D294" s="119">
        <v>15172</v>
      </c>
      <c r="E294" s="137">
        <v>235059796</v>
      </c>
      <c r="F294" s="119"/>
      <c r="G294" s="137"/>
      <c r="H294" s="3">
        <f t="shared" si="44"/>
        <v>-1633345.7099999997</v>
      </c>
      <c r="I294" s="4">
        <f t="shared" si="45"/>
        <v>-25011915082.386005</v>
      </c>
    </row>
    <row r="295" spans="1:9" ht="15" customHeight="1" x14ac:dyDescent="0.2">
      <c r="A295" s="2">
        <v>44987</v>
      </c>
      <c r="C295" s="1" t="s">
        <v>230</v>
      </c>
      <c r="D295" s="3">
        <v>71784.66</v>
      </c>
      <c r="E295" s="4">
        <v>1101182481.0799999</v>
      </c>
      <c r="H295" s="3">
        <f t="shared" si="44"/>
        <v>-1561561.0499999998</v>
      </c>
      <c r="I295" s="4">
        <f t="shared" si="45"/>
        <v>-23910732601.306007</v>
      </c>
    </row>
    <row r="296" spans="1:9" ht="15" customHeight="1" x14ac:dyDescent="0.2">
      <c r="A296" s="2">
        <v>44987</v>
      </c>
      <c r="B296" s="2"/>
      <c r="C296" s="1" t="s">
        <v>176</v>
      </c>
      <c r="D296" s="18">
        <v>282536.67</v>
      </c>
      <c r="E296" s="32">
        <v>4464349315.4499998</v>
      </c>
      <c r="H296" s="3">
        <f t="shared" ref="H296" si="46">+H295+D296-F296</f>
        <v>-1279024.3799999999</v>
      </c>
      <c r="I296" s="4">
        <f t="shared" ref="I296" si="47">+I295+E296-G296</f>
        <v>-19446383285.856007</v>
      </c>
    </row>
    <row r="297" spans="1:9" ht="15" customHeight="1" x14ac:dyDescent="0.2">
      <c r="H297" s="6"/>
      <c r="I297" s="7"/>
    </row>
    <row r="298" spans="1:9" ht="15" customHeight="1" x14ac:dyDescent="0.2">
      <c r="H298" s="6"/>
      <c r="I298" s="7"/>
    </row>
    <row r="299" spans="1:9" ht="15" customHeight="1" x14ac:dyDescent="0.2">
      <c r="A299" s="2">
        <v>45022</v>
      </c>
      <c r="C299" s="1" t="s">
        <v>184</v>
      </c>
      <c r="D299" s="146">
        <v>30000</v>
      </c>
      <c r="E299" s="145">
        <v>460980000</v>
      </c>
      <c r="H299" s="3">
        <f>+H296+D299-F299</f>
        <v>-1249024.3799999999</v>
      </c>
      <c r="I299" s="4">
        <f>+I296+E299-G299</f>
        <v>-18985403285.856007</v>
      </c>
    </row>
    <row r="300" spans="1:9" ht="15" customHeight="1" x14ac:dyDescent="0.2">
      <c r="A300" s="2">
        <v>45030</v>
      </c>
      <c r="C300" s="1" t="s">
        <v>241</v>
      </c>
      <c r="F300" s="3">
        <v>128766.51</v>
      </c>
      <c r="G300" s="4">
        <v>1904714215.9200001</v>
      </c>
      <c r="H300" s="3">
        <f>+H299+D300-F300</f>
        <v>-1377790.89</v>
      </c>
      <c r="I300" s="4">
        <f>+I299+E300-G300</f>
        <v>-20890117501.776009</v>
      </c>
    </row>
    <row r="301" spans="1:9" ht="15" customHeight="1" x14ac:dyDescent="0.2">
      <c r="A301" s="2">
        <v>45030</v>
      </c>
      <c r="C301" s="1" t="s">
        <v>17</v>
      </c>
      <c r="F301" s="3">
        <v>82</v>
      </c>
      <c r="G301" s="4">
        <v>1212944</v>
      </c>
      <c r="H301" s="3">
        <f t="shared" ref="H301:H312" si="48">+H300+D301-F301</f>
        <v>-1377872.89</v>
      </c>
      <c r="I301" s="4">
        <f t="shared" ref="I301:I312" si="49">+I300+E301-G301</f>
        <v>-20891330445.776009</v>
      </c>
    </row>
    <row r="302" spans="1:9" ht="15" customHeight="1" x14ac:dyDescent="0.2">
      <c r="A302" s="2">
        <v>45034</v>
      </c>
      <c r="C302" s="1" t="s">
        <v>243</v>
      </c>
      <c r="F302" s="3">
        <v>46717.36</v>
      </c>
      <c r="G302" s="4">
        <v>690155559.27999997</v>
      </c>
      <c r="H302" s="3">
        <f t="shared" si="48"/>
        <v>-1424590.25</v>
      </c>
      <c r="I302" s="4">
        <f t="shared" si="49"/>
        <v>-21581486005.056007</v>
      </c>
    </row>
    <row r="303" spans="1:9" ht="15" customHeight="1" x14ac:dyDescent="0.2">
      <c r="A303" s="2">
        <v>45034</v>
      </c>
      <c r="C303" s="1" t="s">
        <v>17</v>
      </c>
      <c r="F303" s="3">
        <v>17</v>
      </c>
      <c r="G303" s="4">
        <v>251141</v>
      </c>
      <c r="H303" s="3">
        <f t="shared" si="48"/>
        <v>-1424607.25</v>
      </c>
      <c r="I303" s="4">
        <f t="shared" si="49"/>
        <v>-21581737146.056007</v>
      </c>
    </row>
    <row r="304" spans="1:9" ht="15" customHeight="1" x14ac:dyDescent="0.2">
      <c r="A304" s="2">
        <v>45027</v>
      </c>
      <c r="C304" s="1" t="s">
        <v>220</v>
      </c>
      <c r="D304" s="16">
        <v>41000</v>
      </c>
      <c r="E304" s="188">
        <v>623856000</v>
      </c>
      <c r="H304" s="3">
        <f t="shared" si="48"/>
        <v>-1383607.25</v>
      </c>
      <c r="I304" s="4">
        <f t="shared" si="49"/>
        <v>-20957881146.056007</v>
      </c>
    </row>
    <row r="305" spans="1:9" ht="15" customHeight="1" x14ac:dyDescent="0.2">
      <c r="A305" s="2">
        <v>45026</v>
      </c>
      <c r="C305" s="1" t="s">
        <v>188</v>
      </c>
      <c r="F305" s="3">
        <v>182678.65</v>
      </c>
      <c r="G305" s="4">
        <v>2729767066.9499998</v>
      </c>
      <c r="H305" s="3">
        <f t="shared" si="48"/>
        <v>-1566285.9</v>
      </c>
      <c r="I305" s="4">
        <f t="shared" si="49"/>
        <v>-23687648213.006008</v>
      </c>
    </row>
    <row r="306" spans="1:9" ht="15" customHeight="1" x14ac:dyDescent="0.2">
      <c r="A306" s="2">
        <v>45026</v>
      </c>
      <c r="C306" s="1" t="s">
        <v>17</v>
      </c>
      <c r="F306" s="3">
        <v>25</v>
      </c>
      <c r="G306" s="4">
        <v>373575</v>
      </c>
      <c r="H306" s="3">
        <f t="shared" si="48"/>
        <v>-1566310.9</v>
      </c>
      <c r="I306" s="4">
        <f t="shared" si="49"/>
        <v>-23688021788.006008</v>
      </c>
    </row>
    <row r="307" spans="1:9" ht="15" customHeight="1" x14ac:dyDescent="0.2">
      <c r="A307" s="2">
        <v>45026</v>
      </c>
      <c r="B307" s="2"/>
      <c r="C307" s="1" t="s">
        <v>463</v>
      </c>
      <c r="D307" s="117">
        <v>88394.8</v>
      </c>
      <c r="E307" s="151">
        <v>1320883496.4000001</v>
      </c>
      <c r="F307" s="117"/>
      <c r="G307" s="151"/>
      <c r="H307" s="3">
        <f t="shared" ref="H307:H308" si="50">+H306+D307-F307</f>
        <v>-1477916.0999999999</v>
      </c>
      <c r="I307" s="4">
        <f t="shared" ref="I307:I308" si="51">+I306+E307-G307</f>
        <v>-22367138291.606007</v>
      </c>
    </row>
    <row r="308" spans="1:9" ht="15" customHeight="1" x14ac:dyDescent="0.2">
      <c r="A308" s="2">
        <v>45044</v>
      </c>
      <c r="C308" s="1" t="s">
        <v>190</v>
      </c>
      <c r="F308" s="3">
        <v>251214.26</v>
      </c>
      <c r="G308" s="4">
        <v>3705661549.2600002</v>
      </c>
      <c r="H308" s="3">
        <f t="shared" si="50"/>
        <v>-1729130.3599999999</v>
      </c>
      <c r="I308" s="4">
        <f t="shared" si="51"/>
        <v>-26072799840.866005</v>
      </c>
    </row>
    <row r="309" spans="1:9" ht="15" customHeight="1" x14ac:dyDescent="0.2">
      <c r="A309" s="2">
        <v>45044</v>
      </c>
      <c r="C309" s="1" t="s">
        <v>17</v>
      </c>
      <c r="F309" s="3">
        <v>30</v>
      </c>
      <c r="G309" s="4">
        <v>442530</v>
      </c>
      <c r="H309" s="3">
        <f>+H308+D309-F309</f>
        <v>-1729160.3599999999</v>
      </c>
      <c r="I309" s="4">
        <f t="shared" si="49"/>
        <v>-26073242370.866005</v>
      </c>
    </row>
    <row r="310" spans="1:9" ht="15" customHeight="1" x14ac:dyDescent="0.2">
      <c r="A310" s="2">
        <v>45044</v>
      </c>
      <c r="C310" s="1" t="s">
        <v>462</v>
      </c>
      <c r="D310" s="141">
        <v>251244.26</v>
      </c>
      <c r="E310" s="151">
        <v>3706104079.2600002</v>
      </c>
      <c r="F310" s="1"/>
      <c r="G310" s="1"/>
      <c r="H310" s="3">
        <f>+H309+D310-F310</f>
        <v>-1477916.0999999999</v>
      </c>
      <c r="I310" s="4">
        <f t="shared" ref="I310:I311" si="52">+I309+E310-G310</f>
        <v>-22367138291.606003</v>
      </c>
    </row>
    <row r="311" spans="1:9" ht="15" customHeight="1" x14ac:dyDescent="0.2">
      <c r="A311" s="2">
        <v>45022</v>
      </c>
      <c r="C311" s="1" t="s">
        <v>190</v>
      </c>
      <c r="F311" s="3">
        <v>145879.6</v>
      </c>
      <c r="G311" s="4">
        <v>2178420066.8000002</v>
      </c>
      <c r="H311" s="3">
        <f>+H310+D311-F311</f>
        <v>-1623795.7</v>
      </c>
      <c r="I311" s="4">
        <f t="shared" si="52"/>
        <v>-24545558358.406002</v>
      </c>
    </row>
    <row r="312" spans="1:9" ht="15" customHeight="1" x14ac:dyDescent="0.2">
      <c r="A312" s="2">
        <v>45022</v>
      </c>
      <c r="C312" s="1" t="s">
        <v>17</v>
      </c>
      <c r="F312" s="3">
        <v>30</v>
      </c>
      <c r="G312" s="4">
        <v>447990</v>
      </c>
      <c r="H312" s="6">
        <f t="shared" si="48"/>
        <v>-1623825.7</v>
      </c>
      <c r="I312" s="7">
        <f t="shared" si="49"/>
        <v>-24546006348.406002</v>
      </c>
    </row>
    <row r="315" spans="1:9" ht="15" customHeight="1" x14ac:dyDescent="0.2">
      <c r="A315" s="2">
        <v>45048</v>
      </c>
      <c r="B315" s="2"/>
      <c r="C315" s="1" t="s">
        <v>274</v>
      </c>
      <c r="D315" s="117">
        <v>19674</v>
      </c>
      <c r="E315" s="136">
        <v>292513032</v>
      </c>
      <c r="F315" s="1"/>
      <c r="G315" s="1"/>
      <c r="H315" s="3">
        <f>+H312+D315-F315</f>
        <v>-1604151.7</v>
      </c>
      <c r="I315" s="4">
        <f>+I312+E315-G315</f>
        <v>-24253493316.406002</v>
      </c>
    </row>
    <row r="316" spans="1:9" ht="15" customHeight="1" x14ac:dyDescent="0.2">
      <c r="A316" s="2">
        <v>45048</v>
      </c>
      <c r="B316" s="2"/>
      <c r="C316" s="1" t="s">
        <v>275</v>
      </c>
      <c r="D316" s="117">
        <v>46734.36</v>
      </c>
      <c r="E316" s="151">
        <v>690406700.27999997</v>
      </c>
      <c r="F316" s="117"/>
      <c r="G316" s="151"/>
      <c r="H316" s="3">
        <f>+H315+D316-F316</f>
        <v>-1557417.3399999999</v>
      </c>
      <c r="I316" s="4">
        <f>+I315+E316-G316</f>
        <v>-23563086616.126003</v>
      </c>
    </row>
    <row r="317" spans="1:9" ht="15" customHeight="1" x14ac:dyDescent="0.2">
      <c r="A317" s="2">
        <v>45048</v>
      </c>
      <c r="C317" s="1" t="s">
        <v>265</v>
      </c>
      <c r="F317" s="17">
        <v>44613</v>
      </c>
      <c r="G317" s="4">
        <v>654071193</v>
      </c>
      <c r="H317" s="3">
        <f t="shared" ref="H317:H333" si="53">+H316+D317-F317</f>
        <v>-1602030.3399999999</v>
      </c>
      <c r="I317" s="4">
        <f t="shared" ref="I317:I333" si="54">+I316+E317-G317</f>
        <v>-24217157809.126003</v>
      </c>
    </row>
    <row r="318" spans="1:9" ht="15" customHeight="1" x14ac:dyDescent="0.2">
      <c r="A318" s="2">
        <v>45048</v>
      </c>
      <c r="C318" s="1" t="s">
        <v>17</v>
      </c>
      <c r="F318" s="17">
        <v>57</v>
      </c>
      <c r="G318" s="4">
        <v>835677</v>
      </c>
      <c r="H318" s="3">
        <f t="shared" si="53"/>
        <v>-1602087.3399999999</v>
      </c>
      <c r="I318" s="4">
        <f t="shared" si="54"/>
        <v>-24217993486.126003</v>
      </c>
    </row>
    <row r="319" spans="1:9" ht="15" customHeight="1" x14ac:dyDescent="0.2">
      <c r="A319" s="2">
        <v>45051</v>
      </c>
      <c r="C319" s="1" t="s">
        <v>267</v>
      </c>
      <c r="D319" s="16">
        <v>70502.8</v>
      </c>
      <c r="E319" s="188">
        <v>1072770604.8</v>
      </c>
      <c r="F319" s="17"/>
      <c r="H319" s="3">
        <f t="shared" si="53"/>
        <v>-1531584.5399999998</v>
      </c>
      <c r="I319" s="4">
        <f t="shared" si="54"/>
        <v>-23145222881.326004</v>
      </c>
    </row>
    <row r="320" spans="1:9" ht="15" customHeight="1" x14ac:dyDescent="0.2">
      <c r="A320" s="2">
        <v>45051</v>
      </c>
      <c r="B320" s="2"/>
      <c r="C320" s="1" t="s">
        <v>268</v>
      </c>
      <c r="D320" s="114">
        <v>32000</v>
      </c>
      <c r="E320" s="139">
        <v>492160000</v>
      </c>
      <c r="F320" s="17"/>
      <c r="H320" s="3">
        <f t="shared" si="53"/>
        <v>-1499584.5399999998</v>
      </c>
      <c r="I320" s="4">
        <f t="shared" si="54"/>
        <v>-22653062881.326004</v>
      </c>
    </row>
    <row r="321" spans="1:9" ht="15" customHeight="1" x14ac:dyDescent="0.2">
      <c r="A321" s="2">
        <v>45056</v>
      </c>
      <c r="C321" s="1" t="s">
        <v>268</v>
      </c>
      <c r="D321" s="114">
        <v>42000</v>
      </c>
      <c r="E321" s="139">
        <v>645960000</v>
      </c>
      <c r="F321" s="114"/>
      <c r="G321" s="139"/>
      <c r="H321" s="3">
        <f t="shared" si="53"/>
        <v>-1457584.5399999998</v>
      </c>
      <c r="I321" s="4">
        <f t="shared" si="54"/>
        <v>-22007102881.326004</v>
      </c>
    </row>
    <row r="322" spans="1:9" ht="15" customHeight="1" x14ac:dyDescent="0.2">
      <c r="A322" s="2">
        <v>45056</v>
      </c>
      <c r="C322" s="1" t="s">
        <v>196</v>
      </c>
      <c r="F322" s="17">
        <v>23070</v>
      </c>
      <c r="G322" s="4">
        <v>340443990</v>
      </c>
      <c r="H322" s="3">
        <f t="shared" si="53"/>
        <v>-1480654.5399999998</v>
      </c>
      <c r="I322" s="4">
        <f t="shared" si="54"/>
        <v>-22347546871.326004</v>
      </c>
    </row>
    <row r="323" spans="1:9" ht="15" customHeight="1" x14ac:dyDescent="0.2">
      <c r="A323" s="2">
        <v>45057</v>
      </c>
      <c r="C323" s="1" t="s">
        <v>263</v>
      </c>
      <c r="F323" s="17">
        <v>68669</v>
      </c>
      <c r="G323" s="4">
        <v>1012593074</v>
      </c>
      <c r="H323" s="3">
        <f t="shared" si="53"/>
        <v>-1549323.5399999998</v>
      </c>
      <c r="I323" s="4">
        <f t="shared" si="54"/>
        <v>-23360139945.326004</v>
      </c>
    </row>
    <row r="324" spans="1:9" ht="15" customHeight="1" x14ac:dyDescent="0.2">
      <c r="A324" s="2">
        <v>45057</v>
      </c>
      <c r="C324" s="1" t="s">
        <v>17</v>
      </c>
      <c r="F324" s="17">
        <v>37</v>
      </c>
      <c r="G324" s="4">
        <v>545602</v>
      </c>
      <c r="H324" s="3">
        <f t="shared" si="53"/>
        <v>-1549360.5399999998</v>
      </c>
      <c r="I324" s="4">
        <f t="shared" si="54"/>
        <v>-23360685547.326004</v>
      </c>
    </row>
    <row r="325" spans="1:9" ht="15" customHeight="1" x14ac:dyDescent="0.2">
      <c r="A325" s="2">
        <v>45058</v>
      </c>
      <c r="C325" s="1" t="s">
        <v>268</v>
      </c>
      <c r="D325" s="114">
        <v>13000</v>
      </c>
      <c r="E325" s="139">
        <v>199940000</v>
      </c>
      <c r="F325" s="114"/>
      <c r="G325" s="139"/>
      <c r="H325" s="3">
        <f t="shared" si="53"/>
        <v>-1536360.5399999998</v>
      </c>
      <c r="I325" s="4">
        <f t="shared" si="54"/>
        <v>-23160745547.326004</v>
      </c>
    </row>
    <row r="326" spans="1:9" ht="15" customHeight="1" x14ac:dyDescent="0.2">
      <c r="A326" s="2">
        <v>45058</v>
      </c>
      <c r="C326" s="1" t="s">
        <v>269</v>
      </c>
      <c r="D326" s="101">
        <v>10000</v>
      </c>
      <c r="E326" s="136">
        <v>149330000</v>
      </c>
      <c r="F326" s="101"/>
      <c r="G326" s="151"/>
      <c r="H326" s="3">
        <f t="shared" si="53"/>
        <v>-1526360.5399999998</v>
      </c>
      <c r="I326" s="4">
        <f t="shared" si="54"/>
        <v>-23011415547.326004</v>
      </c>
    </row>
    <row r="327" spans="1:9" ht="15" customHeight="1" x14ac:dyDescent="0.2">
      <c r="A327" s="2">
        <v>45065</v>
      </c>
      <c r="C327" s="1" t="s">
        <v>269</v>
      </c>
      <c r="D327" s="101">
        <v>23000</v>
      </c>
      <c r="E327" s="136">
        <v>343459000</v>
      </c>
      <c r="F327" s="101"/>
      <c r="G327" s="136"/>
      <c r="H327" s="3">
        <f t="shared" si="53"/>
        <v>-1503360.5399999998</v>
      </c>
      <c r="I327" s="4">
        <f t="shared" si="54"/>
        <v>-22667956547.326004</v>
      </c>
    </row>
    <row r="328" spans="1:9" ht="15" customHeight="1" x14ac:dyDescent="0.2">
      <c r="A328" s="2">
        <v>45065</v>
      </c>
      <c r="C328" s="1" t="s">
        <v>270</v>
      </c>
      <c r="D328" s="155">
        <v>33017.599999999999</v>
      </c>
      <c r="E328" s="25">
        <v>491137130.18000001</v>
      </c>
      <c r="F328" s="101"/>
      <c r="G328" s="136"/>
      <c r="H328" s="3">
        <f t="shared" si="53"/>
        <v>-1470342.9399999997</v>
      </c>
      <c r="I328" s="4">
        <f t="shared" si="54"/>
        <v>-22176819417.146004</v>
      </c>
    </row>
    <row r="329" spans="1:9" ht="15" customHeight="1" x14ac:dyDescent="0.2">
      <c r="A329" s="2">
        <v>45065</v>
      </c>
      <c r="C329" s="1" t="s">
        <v>273</v>
      </c>
      <c r="D329" s="155">
        <v>128848.51</v>
      </c>
      <c r="E329" s="72">
        <v>1905927159.9200001</v>
      </c>
      <c r="F329" s="155"/>
      <c r="G329" s="72"/>
      <c r="H329" s="3">
        <f t="shared" si="53"/>
        <v>-1341494.4299999997</v>
      </c>
      <c r="I329" s="4">
        <f t="shared" si="54"/>
        <v>-20270892257.226006</v>
      </c>
    </row>
    <row r="330" spans="1:9" ht="15" customHeight="1" x14ac:dyDescent="0.2">
      <c r="A330" s="2">
        <v>45068</v>
      </c>
      <c r="C330" s="1" t="s">
        <v>190</v>
      </c>
      <c r="F330" s="17">
        <v>145041</v>
      </c>
      <c r="G330" s="4">
        <v>2166332376</v>
      </c>
      <c r="H330" s="3">
        <f t="shared" si="53"/>
        <v>-1486535.4299999997</v>
      </c>
      <c r="I330" s="4">
        <f t="shared" si="54"/>
        <v>-22437224633.226006</v>
      </c>
    </row>
    <row r="331" spans="1:9" ht="15" customHeight="1" x14ac:dyDescent="0.2">
      <c r="A331" s="2">
        <v>45068</v>
      </c>
      <c r="C331" s="1" t="s">
        <v>17</v>
      </c>
      <c r="F331" s="17">
        <v>30</v>
      </c>
      <c r="G331" s="4">
        <v>448080</v>
      </c>
      <c r="H331" s="3">
        <f t="shared" si="53"/>
        <v>-1486565.4299999997</v>
      </c>
      <c r="I331" s="4">
        <f t="shared" si="54"/>
        <v>-22437672713.226006</v>
      </c>
    </row>
    <row r="332" spans="1:9" ht="15" customHeight="1" x14ac:dyDescent="0.2">
      <c r="A332" s="2">
        <v>45076</v>
      </c>
      <c r="C332" s="1" t="s">
        <v>271</v>
      </c>
      <c r="D332" s="152">
        <v>25640.400000000001</v>
      </c>
      <c r="E332" s="140">
        <v>401067136.80000001</v>
      </c>
      <c r="F332" s="152"/>
      <c r="G332" s="140"/>
      <c r="H332" s="3">
        <f t="shared" si="53"/>
        <v>-1460925.0299999998</v>
      </c>
      <c r="I332" s="4">
        <f t="shared" si="54"/>
        <v>-22036605576.426006</v>
      </c>
    </row>
    <row r="333" spans="1:9" ht="15" customHeight="1" x14ac:dyDescent="0.2">
      <c r="A333" s="2">
        <v>45076</v>
      </c>
      <c r="C333" s="2" t="s">
        <v>272</v>
      </c>
      <c r="D333" s="114">
        <v>46996.160000000003</v>
      </c>
      <c r="E333" s="139">
        <v>711521862.39999998</v>
      </c>
      <c r="F333" s="114"/>
      <c r="G333" s="139"/>
      <c r="H333" s="6">
        <f t="shared" si="53"/>
        <v>-1413928.8699999999</v>
      </c>
      <c r="I333" s="7">
        <f t="shared" si="54"/>
        <v>-21325083714.026005</v>
      </c>
    </row>
    <row r="334" spans="1:9" ht="15" customHeight="1" x14ac:dyDescent="0.2">
      <c r="A334" s="1"/>
      <c r="D334" s="1"/>
      <c r="E334" s="1"/>
      <c r="F334" s="155"/>
      <c r="G334" s="72"/>
    </row>
    <row r="335" spans="1:9" ht="15" customHeight="1" x14ac:dyDescent="0.2">
      <c r="A335" s="1"/>
      <c r="D335" s="1"/>
      <c r="E335" s="1"/>
      <c r="F335" s="17"/>
      <c r="G335" s="32"/>
    </row>
    <row r="336" spans="1:9" ht="15" customHeight="1" x14ac:dyDescent="0.2">
      <c r="A336" s="2">
        <v>45085</v>
      </c>
      <c r="C336" s="1" t="s">
        <v>306</v>
      </c>
      <c r="D336" s="114">
        <v>41636.559999999998</v>
      </c>
      <c r="E336" s="139">
        <v>630377518.39999998</v>
      </c>
      <c r="F336" s="114"/>
      <c r="G336" s="139"/>
      <c r="H336" s="3">
        <f>+H333+D336-F336</f>
        <v>-1372292.3099999998</v>
      </c>
      <c r="I336" s="4">
        <f>+I333+E336-G336</f>
        <v>-20694706195.626003</v>
      </c>
    </row>
    <row r="337" spans="1:9" ht="15" customHeight="1" x14ac:dyDescent="0.2">
      <c r="A337" s="2">
        <v>45085</v>
      </c>
      <c r="B337" s="2"/>
      <c r="C337" s="1" t="s">
        <v>241</v>
      </c>
      <c r="D337" s="17"/>
      <c r="E337" s="32"/>
      <c r="F337" s="155">
        <v>21627</v>
      </c>
      <c r="G337" s="72">
        <v>321701841.26999998</v>
      </c>
      <c r="H337" s="3">
        <f>+H336+D337-F337</f>
        <v>-1393919.3099999998</v>
      </c>
      <c r="I337" s="4">
        <f>+I336+E337-G337</f>
        <v>-21016408036.896004</v>
      </c>
    </row>
    <row r="338" spans="1:9" ht="15" customHeight="1" x14ac:dyDescent="0.2">
      <c r="A338" s="2">
        <v>45085</v>
      </c>
      <c r="B338" s="2"/>
      <c r="C338" s="1" t="s">
        <v>17</v>
      </c>
      <c r="D338" s="17"/>
      <c r="E338" s="32"/>
      <c r="F338" s="155">
        <v>51</v>
      </c>
      <c r="G338" s="72">
        <v>758625.51</v>
      </c>
      <c r="H338" s="3">
        <f t="shared" ref="H338:H351" si="55">+H337+D338-F338</f>
        <v>-1393970.3099999998</v>
      </c>
      <c r="I338" s="4">
        <f t="shared" ref="I338:I351" si="56">+I337+E338-G338</f>
        <v>-21017166662.406002</v>
      </c>
    </row>
    <row r="339" spans="1:9" ht="15" customHeight="1" x14ac:dyDescent="0.2">
      <c r="A339" s="2">
        <v>45086</v>
      </c>
      <c r="C339" s="1" t="s">
        <v>307</v>
      </c>
      <c r="D339" s="114">
        <v>14772</v>
      </c>
      <c r="E339" s="139">
        <v>227621748</v>
      </c>
      <c r="F339" s="114"/>
      <c r="G339" s="139"/>
      <c r="H339" s="3">
        <f t="shared" si="55"/>
        <v>-1379198.3099999998</v>
      </c>
      <c r="I339" s="4">
        <f t="shared" si="56"/>
        <v>-20789544914.406002</v>
      </c>
    </row>
    <row r="340" spans="1:9" ht="15" customHeight="1" x14ac:dyDescent="0.2">
      <c r="A340" s="2">
        <v>45090</v>
      </c>
      <c r="B340" s="2"/>
      <c r="C340" s="1" t="s">
        <v>294</v>
      </c>
      <c r="D340" s="17"/>
      <c r="E340" s="32"/>
      <c r="F340" s="155">
        <v>18331</v>
      </c>
      <c r="G340" s="72">
        <v>272655294</v>
      </c>
      <c r="H340" s="3">
        <f t="shared" si="55"/>
        <v>-1397529.3099999998</v>
      </c>
      <c r="I340" s="4">
        <f t="shared" si="56"/>
        <v>-21062200208.406002</v>
      </c>
    </row>
    <row r="341" spans="1:9" ht="15" customHeight="1" x14ac:dyDescent="0.2">
      <c r="A341" s="2">
        <v>45090</v>
      </c>
      <c r="B341" s="2"/>
      <c r="C341" s="1" t="s">
        <v>17</v>
      </c>
      <c r="D341" s="17"/>
      <c r="E341" s="32"/>
      <c r="F341" s="155">
        <v>17</v>
      </c>
      <c r="G341" s="72">
        <v>252858</v>
      </c>
      <c r="H341" s="3">
        <f t="shared" si="55"/>
        <v>-1397546.3099999998</v>
      </c>
      <c r="I341" s="4">
        <f t="shared" si="56"/>
        <v>-21062453066.406002</v>
      </c>
    </row>
    <row r="342" spans="1:9" ht="15" customHeight="1" x14ac:dyDescent="0.2">
      <c r="A342" s="2">
        <v>45092</v>
      </c>
      <c r="B342" s="2"/>
      <c r="C342" s="1" t="s">
        <v>308</v>
      </c>
      <c r="D342" s="171">
        <v>10000</v>
      </c>
      <c r="E342" s="172">
        <v>153800000</v>
      </c>
      <c r="F342" s="171"/>
      <c r="G342" s="139"/>
      <c r="H342" s="3">
        <f t="shared" si="55"/>
        <v>-1387546.3099999998</v>
      </c>
      <c r="I342" s="4">
        <f t="shared" si="56"/>
        <v>-20908653066.406002</v>
      </c>
    </row>
    <row r="343" spans="1:9" ht="15" customHeight="1" x14ac:dyDescent="0.2">
      <c r="A343" s="2">
        <v>45092</v>
      </c>
      <c r="B343" s="2"/>
      <c r="C343" s="1" t="s">
        <v>309</v>
      </c>
      <c r="D343" s="141">
        <v>20000</v>
      </c>
      <c r="E343" s="173">
        <v>298660000</v>
      </c>
      <c r="F343" s="141"/>
      <c r="G343" s="151"/>
      <c r="H343" s="3">
        <f t="shared" si="55"/>
        <v>-1367546.3099999998</v>
      </c>
      <c r="I343" s="4">
        <f t="shared" si="56"/>
        <v>-20609993066.406002</v>
      </c>
    </row>
    <row r="344" spans="1:9" ht="15" customHeight="1" x14ac:dyDescent="0.2">
      <c r="A344" s="2">
        <v>45092</v>
      </c>
      <c r="B344" s="2"/>
      <c r="C344" s="1" t="s">
        <v>310</v>
      </c>
      <c r="D344" s="174">
        <v>94308.85</v>
      </c>
      <c r="E344" s="173">
        <v>1409257145.55</v>
      </c>
      <c r="F344" s="174"/>
      <c r="G344" s="151"/>
      <c r="H344" s="3">
        <f t="shared" si="55"/>
        <v>-1273237.4599999997</v>
      </c>
      <c r="I344" s="4">
        <f t="shared" si="56"/>
        <v>-19200735920.856003</v>
      </c>
    </row>
    <row r="345" spans="1:9" ht="15" customHeight="1" x14ac:dyDescent="0.2">
      <c r="A345" s="2">
        <v>45092</v>
      </c>
      <c r="B345" s="2"/>
      <c r="C345" s="1" t="s">
        <v>309</v>
      </c>
      <c r="D345" s="141">
        <v>23000</v>
      </c>
      <c r="E345" s="173">
        <v>343459000</v>
      </c>
      <c r="F345" s="141"/>
      <c r="G345" s="151"/>
      <c r="H345" s="3">
        <f t="shared" si="55"/>
        <v>-1250237.4599999997</v>
      </c>
      <c r="I345" s="4">
        <f t="shared" si="56"/>
        <v>-18857276920.856003</v>
      </c>
    </row>
    <row r="346" spans="1:9" ht="15" customHeight="1" x14ac:dyDescent="0.2">
      <c r="A346" s="2">
        <v>45098</v>
      </c>
      <c r="B346" s="2"/>
      <c r="C346" s="1" t="s">
        <v>311</v>
      </c>
      <c r="D346" s="171">
        <v>14772</v>
      </c>
      <c r="E346" s="172">
        <v>228862596</v>
      </c>
      <c r="F346" s="171"/>
      <c r="G346" s="140"/>
      <c r="H346" s="3">
        <f t="shared" si="55"/>
        <v>-1235465.4599999997</v>
      </c>
      <c r="I346" s="4">
        <f t="shared" si="56"/>
        <v>-18628414324.856003</v>
      </c>
    </row>
    <row r="347" spans="1:9" ht="15" customHeight="1" x14ac:dyDescent="0.2">
      <c r="A347" s="2">
        <v>45103</v>
      </c>
      <c r="C347" s="1" t="s">
        <v>309</v>
      </c>
      <c r="D347" s="141">
        <v>23000</v>
      </c>
      <c r="E347" s="173">
        <v>343459000</v>
      </c>
      <c r="F347" s="141"/>
      <c r="G347" s="151"/>
      <c r="H347" s="3">
        <f t="shared" si="55"/>
        <v>-1212465.4599999997</v>
      </c>
      <c r="I347" s="4">
        <f t="shared" si="56"/>
        <v>-18284955324.856003</v>
      </c>
    </row>
    <row r="348" spans="1:9" ht="15" customHeight="1" x14ac:dyDescent="0.2">
      <c r="A348" s="2">
        <v>45104</v>
      </c>
      <c r="B348" s="2"/>
      <c r="C348" s="1" t="s">
        <v>309</v>
      </c>
      <c r="D348" s="141">
        <v>23000</v>
      </c>
      <c r="E348" s="173">
        <v>343459000</v>
      </c>
      <c r="F348" s="141"/>
      <c r="G348" s="136"/>
      <c r="H348" s="3">
        <f t="shared" si="55"/>
        <v>-1189465.4599999997</v>
      </c>
      <c r="I348" s="4">
        <f t="shared" si="56"/>
        <v>-17941496324.856003</v>
      </c>
    </row>
    <row r="349" spans="1:9" ht="15" customHeight="1" x14ac:dyDescent="0.2">
      <c r="A349" s="2">
        <v>45105</v>
      </c>
      <c r="B349" s="2"/>
      <c r="C349" s="1" t="s">
        <v>309</v>
      </c>
      <c r="D349" s="141">
        <v>20909.599999999999</v>
      </c>
      <c r="E349" s="173">
        <v>312243056.80000001</v>
      </c>
      <c r="F349" s="141"/>
      <c r="G349" s="139"/>
      <c r="H349" s="3">
        <f t="shared" si="55"/>
        <v>-1168555.8599999996</v>
      </c>
      <c r="I349" s="4">
        <f t="shared" si="56"/>
        <v>-17629253268.056004</v>
      </c>
    </row>
    <row r="350" spans="1:9" ht="15" customHeight="1" x14ac:dyDescent="0.2">
      <c r="A350" s="2">
        <v>45105</v>
      </c>
      <c r="B350" s="2"/>
      <c r="C350" s="1" t="s">
        <v>312</v>
      </c>
      <c r="D350" s="175">
        <v>20000</v>
      </c>
      <c r="E350" s="176">
        <v>298720000</v>
      </c>
      <c r="F350" s="177"/>
      <c r="G350" s="72"/>
      <c r="H350" s="3">
        <f t="shared" si="55"/>
        <v>-1148555.8599999996</v>
      </c>
      <c r="I350" s="4">
        <f t="shared" si="56"/>
        <v>-17330533268.056004</v>
      </c>
    </row>
    <row r="351" spans="1:9" ht="15" customHeight="1" x14ac:dyDescent="0.2">
      <c r="A351" s="2">
        <v>45105</v>
      </c>
      <c r="B351" s="2"/>
      <c r="C351" s="1" t="s">
        <v>312</v>
      </c>
      <c r="D351" s="17">
        <v>20000</v>
      </c>
      <c r="E351" s="32">
        <v>298720000</v>
      </c>
      <c r="F351" s="17"/>
      <c r="G351" s="32"/>
      <c r="H351" s="6">
        <f t="shared" si="55"/>
        <v>-1128555.8599999996</v>
      </c>
      <c r="I351" s="7">
        <f t="shared" si="56"/>
        <v>-17031813268.056004</v>
      </c>
    </row>
    <row r="354" spans="1:9" ht="15" customHeight="1" x14ac:dyDescent="0.2">
      <c r="D354" s="17"/>
    </row>
    <row r="355" spans="1:9" ht="15" customHeight="1" x14ac:dyDescent="0.2">
      <c r="A355" s="2">
        <v>45112</v>
      </c>
      <c r="C355" s="1" t="s">
        <v>341</v>
      </c>
      <c r="D355" s="114">
        <v>15172</v>
      </c>
      <c r="E355" s="139">
        <v>235059796</v>
      </c>
      <c r="F355" s="114"/>
      <c r="G355" s="139"/>
      <c r="H355" s="3">
        <f>+H351+D355-F355</f>
        <v>-1113383.8599999996</v>
      </c>
      <c r="I355" s="4">
        <f>+I351+E355-G355</f>
        <v>-16796753472.056004</v>
      </c>
    </row>
    <row r="356" spans="1:9" ht="15" customHeight="1" x14ac:dyDescent="0.2">
      <c r="A356" s="2">
        <v>45113</v>
      </c>
      <c r="B356" s="2"/>
      <c r="C356" s="1" t="s">
        <v>326</v>
      </c>
      <c r="D356" s="17"/>
      <c r="F356" s="155">
        <v>18331</v>
      </c>
      <c r="G356" s="25">
        <v>275203303</v>
      </c>
      <c r="H356" s="3">
        <f t="shared" ref="H356:H369" si="57">+H355+D356-F356</f>
        <v>-1131714.8599999996</v>
      </c>
      <c r="I356" s="4">
        <f t="shared" ref="I356:I369" si="58">+I355+E356-G356</f>
        <v>-17071956775.056004</v>
      </c>
    </row>
    <row r="357" spans="1:9" ht="15" customHeight="1" x14ac:dyDescent="0.2">
      <c r="A357" s="2">
        <v>45113</v>
      </c>
      <c r="B357" s="2"/>
      <c r="C357" s="1" t="s">
        <v>17</v>
      </c>
      <c r="D357" s="17"/>
      <c r="F357" s="155">
        <v>17</v>
      </c>
      <c r="G357" s="25">
        <v>255221</v>
      </c>
      <c r="H357" s="3">
        <f t="shared" si="57"/>
        <v>-1131731.8599999996</v>
      </c>
      <c r="I357" s="4">
        <f t="shared" si="58"/>
        <v>-17072211996.056004</v>
      </c>
    </row>
    <row r="358" spans="1:9" ht="15" customHeight="1" x14ac:dyDescent="0.2">
      <c r="A358" s="2">
        <v>45114</v>
      </c>
      <c r="C358" s="1" t="s">
        <v>190</v>
      </c>
      <c r="F358" s="3">
        <v>148034.4</v>
      </c>
      <c r="G358" s="4">
        <v>2229694132.8000002</v>
      </c>
      <c r="H358" s="3">
        <f t="shared" si="57"/>
        <v>-1279766.2599999995</v>
      </c>
      <c r="I358" s="4">
        <f t="shared" si="58"/>
        <v>-19301906128.856003</v>
      </c>
    </row>
    <row r="359" spans="1:9" ht="15" customHeight="1" x14ac:dyDescent="0.2">
      <c r="A359" s="2">
        <v>45114</v>
      </c>
      <c r="B359" s="2"/>
      <c r="C359" s="1" t="s">
        <v>17</v>
      </c>
      <c r="D359" s="17"/>
      <c r="E359" s="32"/>
      <c r="F359" s="155">
        <v>30</v>
      </c>
      <c r="G359" s="72">
        <v>451860</v>
      </c>
      <c r="H359" s="3">
        <f t="shared" si="57"/>
        <v>-1279796.2599999995</v>
      </c>
      <c r="I359" s="4">
        <f t="shared" si="58"/>
        <v>-19302357988.856003</v>
      </c>
    </row>
    <row r="360" spans="1:9" ht="15" customHeight="1" x14ac:dyDescent="0.2">
      <c r="A360" s="2">
        <v>45118</v>
      </c>
      <c r="B360" s="2"/>
      <c r="C360" s="1" t="s">
        <v>342</v>
      </c>
      <c r="D360" s="17">
        <v>21678</v>
      </c>
      <c r="E360" s="32">
        <v>322460466.77999997</v>
      </c>
      <c r="F360" s="155"/>
      <c r="G360" s="72"/>
      <c r="H360" s="3">
        <f t="shared" si="57"/>
        <v>-1258118.2599999995</v>
      </c>
      <c r="I360" s="4">
        <f t="shared" si="58"/>
        <v>-18979897522.076004</v>
      </c>
    </row>
    <row r="361" spans="1:9" ht="15" customHeight="1" x14ac:dyDescent="0.2">
      <c r="A361" s="2">
        <v>45121</v>
      </c>
      <c r="C361" s="1" t="s">
        <v>343</v>
      </c>
      <c r="D361" s="114">
        <v>15172</v>
      </c>
      <c r="E361" s="139">
        <v>236258384</v>
      </c>
      <c r="F361" s="155"/>
      <c r="G361" s="72"/>
      <c r="H361" s="3">
        <f t="shared" si="57"/>
        <v>-1242946.2599999995</v>
      </c>
      <c r="I361" s="4">
        <f t="shared" si="58"/>
        <v>-18743639138.076004</v>
      </c>
    </row>
    <row r="362" spans="1:9" ht="15" customHeight="1" x14ac:dyDescent="0.2">
      <c r="A362" s="2">
        <v>45125</v>
      </c>
      <c r="C362" s="1" t="s">
        <v>343</v>
      </c>
      <c r="D362" s="114">
        <v>14772</v>
      </c>
      <c r="E362" s="139">
        <v>230029584</v>
      </c>
      <c r="F362" s="114"/>
      <c r="G362" s="139"/>
      <c r="H362" s="3">
        <f t="shared" si="57"/>
        <v>-1228174.2599999995</v>
      </c>
      <c r="I362" s="4">
        <f t="shared" si="58"/>
        <v>-18513609554.076004</v>
      </c>
    </row>
    <row r="363" spans="1:9" ht="15" customHeight="1" x14ac:dyDescent="0.2">
      <c r="A363" s="2">
        <v>45127</v>
      </c>
      <c r="C363" s="1" t="s">
        <v>344</v>
      </c>
      <c r="D363" s="175">
        <v>44670</v>
      </c>
      <c r="E363" s="32">
        <v>654906870</v>
      </c>
      <c r="F363" s="163"/>
      <c r="G363" s="32"/>
      <c r="H363" s="3">
        <f t="shared" si="57"/>
        <v>-1183504.2599999995</v>
      </c>
      <c r="I363" s="4">
        <f t="shared" si="58"/>
        <v>-17858702684.076004</v>
      </c>
    </row>
    <row r="364" spans="1:9" ht="15" customHeight="1" x14ac:dyDescent="0.2">
      <c r="A364" s="2">
        <v>45127</v>
      </c>
      <c r="B364" s="2"/>
      <c r="C364" s="1" t="s">
        <v>345</v>
      </c>
      <c r="D364" s="17">
        <v>48000</v>
      </c>
      <c r="E364" s="32">
        <v>716928000</v>
      </c>
      <c r="F364" s="17"/>
      <c r="G364" s="32"/>
      <c r="H364" s="3">
        <f t="shared" si="57"/>
        <v>-1135504.2599999995</v>
      </c>
      <c r="I364" s="4">
        <f t="shared" si="58"/>
        <v>-17141774684.076004</v>
      </c>
    </row>
    <row r="365" spans="1:9" ht="15" customHeight="1" x14ac:dyDescent="0.2">
      <c r="A365" s="2">
        <v>45133</v>
      </c>
      <c r="C365" s="1" t="s">
        <v>345</v>
      </c>
      <c r="D365" s="17">
        <v>26000</v>
      </c>
      <c r="E365" s="32">
        <v>388336000</v>
      </c>
      <c r="F365" s="17"/>
      <c r="G365" s="32"/>
      <c r="H365" s="3">
        <f t="shared" si="57"/>
        <v>-1109504.2599999995</v>
      </c>
      <c r="I365" s="4">
        <f t="shared" si="58"/>
        <v>-16753438684.076004</v>
      </c>
    </row>
    <row r="366" spans="1:9" ht="15" customHeight="1" x14ac:dyDescent="0.2">
      <c r="A366" s="2">
        <v>45134</v>
      </c>
      <c r="C366" s="1" t="s">
        <v>345</v>
      </c>
      <c r="D366" s="17">
        <v>10000</v>
      </c>
      <c r="E366" s="32">
        <v>149360000</v>
      </c>
      <c r="F366" s="17"/>
      <c r="G366" s="32"/>
      <c r="H366" s="3">
        <f t="shared" si="57"/>
        <v>-1099504.2599999995</v>
      </c>
      <c r="I366" s="4">
        <f t="shared" si="58"/>
        <v>-16604078684.076004</v>
      </c>
    </row>
    <row r="367" spans="1:9" ht="15" customHeight="1" x14ac:dyDescent="0.2">
      <c r="A367" s="2">
        <v>45134</v>
      </c>
      <c r="C367" s="1" t="s">
        <v>346</v>
      </c>
      <c r="D367" s="3">
        <v>20000</v>
      </c>
      <c r="E367" s="4">
        <v>301240000</v>
      </c>
      <c r="H367" s="3">
        <f t="shared" si="57"/>
        <v>-1079504.2599999995</v>
      </c>
      <c r="I367" s="4">
        <f t="shared" si="58"/>
        <v>-16302838684.076004</v>
      </c>
    </row>
    <row r="368" spans="1:9" ht="15" customHeight="1" x14ac:dyDescent="0.2">
      <c r="A368" s="2">
        <v>45135</v>
      </c>
      <c r="C368" s="1" t="s">
        <v>346</v>
      </c>
      <c r="D368" s="17">
        <v>20000</v>
      </c>
      <c r="E368" s="32">
        <v>301240000</v>
      </c>
      <c r="F368" s="17"/>
      <c r="H368" s="3">
        <f t="shared" si="57"/>
        <v>-1059504.2599999995</v>
      </c>
      <c r="I368" s="4">
        <f t="shared" si="58"/>
        <v>-16001598684.076004</v>
      </c>
    </row>
    <row r="369" spans="1:12" ht="15" customHeight="1" x14ac:dyDescent="0.2">
      <c r="A369" s="2">
        <v>45135</v>
      </c>
      <c r="C369" s="1" t="s">
        <v>346</v>
      </c>
      <c r="D369" s="3">
        <v>20000</v>
      </c>
      <c r="E369" s="4">
        <v>301240000</v>
      </c>
      <c r="H369" s="3">
        <f t="shared" si="57"/>
        <v>-1039504.2599999995</v>
      </c>
      <c r="I369" s="4">
        <f t="shared" si="58"/>
        <v>-15700358684.076004</v>
      </c>
    </row>
    <row r="370" spans="1:12" ht="15" customHeight="1" x14ac:dyDescent="0.2">
      <c r="A370" s="2">
        <v>45138</v>
      </c>
      <c r="B370" s="2"/>
      <c r="C370" s="1" t="s">
        <v>190</v>
      </c>
      <c r="D370" s="17"/>
      <c r="F370" s="155">
        <v>99562.4</v>
      </c>
      <c r="G370" s="25">
        <v>1501699679.2</v>
      </c>
      <c r="H370" s="3">
        <f t="shared" ref="H370:H371" si="59">+H369+D370-F370</f>
        <v>-1139066.6599999995</v>
      </c>
      <c r="I370" s="4">
        <f t="shared" ref="I370:I371" si="60">+I369+E370-G370</f>
        <v>-17202058363.276005</v>
      </c>
    </row>
    <row r="371" spans="1:12" ht="15" customHeight="1" x14ac:dyDescent="0.2">
      <c r="A371" s="2">
        <v>45138</v>
      </c>
      <c r="B371" s="2"/>
      <c r="C371" s="1" t="s">
        <v>17</v>
      </c>
      <c r="D371" s="17"/>
      <c r="F371" s="155">
        <v>30</v>
      </c>
      <c r="G371" s="25">
        <v>452490</v>
      </c>
      <c r="H371" s="6">
        <f t="shared" si="59"/>
        <v>-1139096.6599999995</v>
      </c>
      <c r="I371" s="7">
        <f t="shared" si="60"/>
        <v>-17202510853.276005</v>
      </c>
    </row>
    <row r="372" spans="1:12" ht="15" customHeight="1" x14ac:dyDescent="0.2">
      <c r="B372" s="2"/>
      <c r="D372" s="17"/>
      <c r="F372" s="155"/>
      <c r="G372" s="25"/>
    </row>
    <row r="373" spans="1:12" ht="15" customHeight="1" x14ac:dyDescent="0.2">
      <c r="B373" s="2"/>
      <c r="D373" s="17"/>
      <c r="F373" s="155"/>
      <c r="G373" s="25"/>
    </row>
    <row r="374" spans="1:12" ht="15" customHeight="1" x14ac:dyDescent="0.2">
      <c r="B374" s="2"/>
      <c r="D374" s="17"/>
      <c r="E374" s="32"/>
      <c r="F374" s="155"/>
      <c r="G374" s="25"/>
    </row>
    <row r="375" spans="1:12" ht="15" customHeight="1" x14ac:dyDescent="0.2">
      <c r="A375" s="2">
        <v>45140</v>
      </c>
      <c r="B375" s="2"/>
      <c r="C375" s="1" t="s">
        <v>367</v>
      </c>
      <c r="D375" s="117">
        <v>3000</v>
      </c>
      <c r="E375" s="151">
        <v>46122000</v>
      </c>
      <c r="H375" s="3">
        <f>+H371+D375-F375</f>
        <v>-1136096.6599999995</v>
      </c>
      <c r="I375" s="4">
        <f>+I371+E375-G375</f>
        <v>-17156388853.276005</v>
      </c>
    </row>
    <row r="376" spans="1:12" ht="15" customHeight="1" x14ac:dyDescent="0.2">
      <c r="A376" s="2">
        <v>45140</v>
      </c>
      <c r="B376" s="2"/>
      <c r="C376" s="1" t="s">
        <v>367</v>
      </c>
      <c r="D376" s="117">
        <v>10000</v>
      </c>
      <c r="E376" s="151">
        <v>153740000</v>
      </c>
      <c r="H376" s="3">
        <f>+H375+D376-F376</f>
        <v>-1126096.6599999995</v>
      </c>
      <c r="I376" s="4">
        <f>+I375+E376-G376</f>
        <v>-17002648853.276005</v>
      </c>
    </row>
    <row r="377" spans="1:12" ht="15" customHeight="1" x14ac:dyDescent="0.2">
      <c r="A377" s="2">
        <v>45141</v>
      </c>
      <c r="B377" s="2"/>
      <c r="C377" s="1" t="s">
        <v>363</v>
      </c>
      <c r="D377" s="155">
        <v>30000</v>
      </c>
      <c r="E377" s="72">
        <v>452490000</v>
      </c>
      <c r="F377" s="155"/>
      <c r="G377" s="72"/>
      <c r="H377" s="3">
        <f t="shared" ref="H377:H392" si="61">+H376+D377-F377</f>
        <v>-1096096.6599999995</v>
      </c>
      <c r="I377" s="4">
        <f t="shared" ref="I377:I392" si="62">+I376+E377-G377</f>
        <v>-16550158853.276005</v>
      </c>
    </row>
    <row r="378" spans="1:12" ht="15" customHeight="1" x14ac:dyDescent="0.2">
      <c r="A378" s="2">
        <v>45145</v>
      </c>
      <c r="C378" s="1" t="s">
        <v>346</v>
      </c>
      <c r="D378" s="17">
        <v>20000</v>
      </c>
      <c r="E378" s="32">
        <v>301240000</v>
      </c>
      <c r="H378" s="3">
        <f t="shared" si="61"/>
        <v>-1076096.6599999995</v>
      </c>
      <c r="I378" s="4">
        <f t="shared" si="62"/>
        <v>-16248918853.276005</v>
      </c>
    </row>
    <row r="379" spans="1:12" ht="15" customHeight="1" x14ac:dyDescent="0.2">
      <c r="A379" s="2">
        <v>45146</v>
      </c>
      <c r="B379" s="2"/>
      <c r="C379" s="1" t="s">
        <v>364</v>
      </c>
      <c r="D379" s="155">
        <v>18348</v>
      </c>
      <c r="E379" s="72">
        <v>272908152</v>
      </c>
      <c r="F379" s="1"/>
      <c r="G379" s="1"/>
      <c r="H379" s="3">
        <f t="shared" si="61"/>
        <v>-1057748.6599999995</v>
      </c>
      <c r="I379" s="4">
        <f t="shared" si="62"/>
        <v>-15976010701.276005</v>
      </c>
      <c r="K379" s="1"/>
      <c r="L379" s="1"/>
    </row>
    <row r="380" spans="1:12" ht="15" customHeight="1" x14ac:dyDescent="0.2">
      <c r="A380" s="2">
        <v>45153</v>
      </c>
      <c r="B380" s="2"/>
      <c r="C380" s="1" t="s">
        <v>326</v>
      </c>
      <c r="D380" s="17"/>
      <c r="E380" s="32"/>
      <c r="F380" s="155">
        <v>17815</v>
      </c>
      <c r="G380" s="25">
        <v>272979245</v>
      </c>
      <c r="H380" s="3">
        <f t="shared" si="61"/>
        <v>-1075563.6599999995</v>
      </c>
      <c r="I380" s="4">
        <f t="shared" si="62"/>
        <v>-16248989946.276005</v>
      </c>
    </row>
    <row r="381" spans="1:12" ht="15" customHeight="1" x14ac:dyDescent="0.2">
      <c r="A381" s="2">
        <v>45153</v>
      </c>
      <c r="B381" s="2"/>
      <c r="C381" s="1" t="s">
        <v>17</v>
      </c>
      <c r="D381" s="17"/>
      <c r="E381" s="32"/>
      <c r="F381" s="155">
        <v>17</v>
      </c>
      <c r="G381" s="25">
        <v>260491</v>
      </c>
      <c r="H381" s="3">
        <f t="shared" si="61"/>
        <v>-1075580.6599999995</v>
      </c>
      <c r="I381" s="4">
        <f t="shared" si="62"/>
        <v>-16249250437.276005</v>
      </c>
    </row>
    <row r="382" spans="1:12" ht="15" customHeight="1" x14ac:dyDescent="0.2">
      <c r="A382" s="2">
        <v>45154</v>
      </c>
      <c r="C382" s="1" t="s">
        <v>369</v>
      </c>
      <c r="D382" s="175">
        <v>23070</v>
      </c>
      <c r="E382" s="32">
        <v>340443990</v>
      </c>
      <c r="H382" s="3">
        <f t="shared" si="61"/>
        <v>-1052510.6599999995</v>
      </c>
      <c r="I382" s="4">
        <f t="shared" si="62"/>
        <v>-15908806447.276005</v>
      </c>
    </row>
    <row r="383" spans="1:12" ht="15" customHeight="1" x14ac:dyDescent="0.2">
      <c r="A383" s="2">
        <v>45163</v>
      </c>
      <c r="C383" s="1" t="s">
        <v>371</v>
      </c>
      <c r="D383" s="17">
        <v>12000</v>
      </c>
      <c r="E383" s="32">
        <v>180744000</v>
      </c>
      <c r="F383" s="1"/>
      <c r="G383" s="1"/>
      <c r="H383" s="3">
        <f t="shared" si="61"/>
        <v>-1040510.6599999995</v>
      </c>
      <c r="I383" s="4">
        <f t="shared" si="62"/>
        <v>-15728062447.276005</v>
      </c>
    </row>
    <row r="384" spans="1:12" ht="15" customHeight="1" x14ac:dyDescent="0.2">
      <c r="A384" s="2">
        <v>45163</v>
      </c>
      <c r="B384" s="2"/>
      <c r="C384" s="1" t="s">
        <v>359</v>
      </c>
      <c r="D384" s="155">
        <v>12000</v>
      </c>
      <c r="E384" s="72">
        <v>180996000</v>
      </c>
      <c r="F384" s="1"/>
      <c r="G384" s="1"/>
      <c r="H384" s="3">
        <f t="shared" si="61"/>
        <v>-1028510.6599999995</v>
      </c>
      <c r="I384" s="4">
        <f t="shared" si="62"/>
        <v>-15547066447.276005</v>
      </c>
    </row>
    <row r="385" spans="1:9" ht="15" customHeight="1" x14ac:dyDescent="0.2">
      <c r="A385" s="2">
        <v>45163</v>
      </c>
      <c r="C385" s="1" t="s">
        <v>371</v>
      </c>
      <c r="D385" s="17">
        <v>10000</v>
      </c>
      <c r="E385" s="32">
        <v>150620000</v>
      </c>
      <c r="H385" s="3">
        <f t="shared" si="61"/>
        <v>-1018510.6599999995</v>
      </c>
      <c r="I385" s="4">
        <f t="shared" si="62"/>
        <v>-15396446447.276005</v>
      </c>
    </row>
    <row r="386" spans="1:9" ht="15" customHeight="1" x14ac:dyDescent="0.2">
      <c r="A386" s="2">
        <v>45163</v>
      </c>
      <c r="B386" s="2"/>
      <c r="C386" s="1" t="s">
        <v>359</v>
      </c>
      <c r="D386" s="155">
        <v>12000</v>
      </c>
      <c r="E386" s="72">
        <v>180996000</v>
      </c>
      <c r="H386" s="3">
        <f t="shared" si="61"/>
        <v>-1006510.6599999995</v>
      </c>
      <c r="I386" s="4">
        <f t="shared" si="62"/>
        <v>-15215450447.276005</v>
      </c>
    </row>
    <row r="387" spans="1:9" ht="15" customHeight="1" x14ac:dyDescent="0.2">
      <c r="A387" s="2">
        <v>45161</v>
      </c>
      <c r="B387" s="2"/>
      <c r="C387" s="1" t="s">
        <v>307</v>
      </c>
      <c r="D387" s="17">
        <v>14772</v>
      </c>
      <c r="E387" s="32">
        <v>227621748</v>
      </c>
      <c r="H387" s="3">
        <f t="shared" si="61"/>
        <v>-991738.65999999945</v>
      </c>
      <c r="I387" s="4">
        <f t="shared" si="62"/>
        <v>-14987828699.276005</v>
      </c>
    </row>
    <row r="388" spans="1:9" ht="15" customHeight="1" x14ac:dyDescent="0.2">
      <c r="A388" s="2">
        <v>45161</v>
      </c>
      <c r="C388" s="1" t="s">
        <v>311</v>
      </c>
      <c r="D388" s="114">
        <v>14772</v>
      </c>
      <c r="E388" s="139">
        <v>228862596</v>
      </c>
      <c r="H388" s="3">
        <f t="shared" si="61"/>
        <v>-976966.65999999945</v>
      </c>
      <c r="I388" s="4">
        <f t="shared" si="62"/>
        <v>-14758966103.276005</v>
      </c>
    </row>
    <row r="389" spans="1:9" ht="15" customHeight="1" x14ac:dyDescent="0.2">
      <c r="A389" s="2">
        <v>45167</v>
      </c>
      <c r="C389" s="1" t="s">
        <v>371</v>
      </c>
      <c r="D389" s="17">
        <v>6000</v>
      </c>
      <c r="E389" s="32">
        <v>90372000</v>
      </c>
      <c r="H389" s="3">
        <f t="shared" si="61"/>
        <v>-970966.65999999945</v>
      </c>
      <c r="I389" s="4">
        <f t="shared" si="62"/>
        <v>-14668594103.276005</v>
      </c>
    </row>
    <row r="390" spans="1:9" ht="15" customHeight="1" x14ac:dyDescent="0.2">
      <c r="A390" s="2">
        <v>45167</v>
      </c>
      <c r="B390" s="2"/>
      <c r="C390" s="1" t="s">
        <v>359</v>
      </c>
      <c r="D390" s="155">
        <v>10000</v>
      </c>
      <c r="E390" s="72">
        <v>150830000</v>
      </c>
      <c r="H390" s="3">
        <f t="shared" si="61"/>
        <v>-960966.65999999945</v>
      </c>
      <c r="I390" s="4">
        <f t="shared" si="62"/>
        <v>-14517764103.276005</v>
      </c>
    </row>
    <row r="391" spans="1:9" ht="15" customHeight="1" x14ac:dyDescent="0.2">
      <c r="A391" s="2">
        <v>45168</v>
      </c>
      <c r="C391" s="1" t="s">
        <v>371</v>
      </c>
      <c r="D391" s="17">
        <v>10000</v>
      </c>
      <c r="E391" s="32">
        <v>150620000</v>
      </c>
      <c r="H391" s="3">
        <f t="shared" si="61"/>
        <v>-950966.65999999945</v>
      </c>
      <c r="I391" s="4">
        <f t="shared" si="62"/>
        <v>-14367144103.276005</v>
      </c>
    </row>
    <row r="392" spans="1:9" ht="15" customHeight="1" x14ac:dyDescent="0.2">
      <c r="A392" s="2">
        <v>45168</v>
      </c>
      <c r="B392" s="2"/>
      <c r="C392" s="1" t="s">
        <v>359</v>
      </c>
      <c r="D392" s="155">
        <v>12000</v>
      </c>
      <c r="E392" s="72">
        <v>180996000</v>
      </c>
      <c r="H392" s="6">
        <f t="shared" si="61"/>
        <v>-938966.65999999945</v>
      </c>
      <c r="I392" s="7">
        <f t="shared" si="62"/>
        <v>-14186148103.276005</v>
      </c>
    </row>
    <row r="393" spans="1:9" ht="15" customHeight="1" x14ac:dyDescent="0.2">
      <c r="F393" s="17"/>
    </row>
    <row r="394" spans="1:9" ht="15" customHeight="1" x14ac:dyDescent="0.2">
      <c r="F394" s="17"/>
    </row>
    <row r="395" spans="1:9" ht="15" customHeight="1" x14ac:dyDescent="0.2">
      <c r="F395" s="17"/>
      <c r="G395" s="32"/>
    </row>
    <row r="396" spans="1:9" ht="15" customHeight="1" x14ac:dyDescent="0.2">
      <c r="A396" s="2">
        <v>45175</v>
      </c>
      <c r="C396" s="1" t="s">
        <v>384</v>
      </c>
      <c r="D396" s="209">
        <v>14772</v>
      </c>
      <c r="E396" s="139">
        <v>230029584</v>
      </c>
      <c r="F396" s="115"/>
      <c r="G396" s="139"/>
      <c r="H396" s="3">
        <f>+H392+D396-F396</f>
        <v>-924194.65999999945</v>
      </c>
      <c r="I396" s="4">
        <f>+I392+E396-G396</f>
        <v>-13956118519.276005</v>
      </c>
    </row>
    <row r="397" spans="1:9" ht="15" customHeight="1" x14ac:dyDescent="0.2">
      <c r="A397" s="2">
        <v>45176</v>
      </c>
      <c r="B397" s="2"/>
      <c r="C397" s="1" t="s">
        <v>387</v>
      </c>
      <c r="D397" s="155">
        <v>18348</v>
      </c>
      <c r="E397" s="72">
        <v>275458524</v>
      </c>
      <c r="F397" s="155"/>
      <c r="G397" s="72"/>
      <c r="H397" s="3">
        <f t="shared" ref="H397:H409" si="63">+H396+D397-F397</f>
        <v>-905846.65999999945</v>
      </c>
      <c r="I397" s="4">
        <f t="shared" ref="I397:I409" si="64">+I396+E397-G397</f>
        <v>-13680659995.276005</v>
      </c>
    </row>
    <row r="398" spans="1:9" ht="15" customHeight="1" x14ac:dyDescent="0.2">
      <c r="A398" s="2">
        <v>45177</v>
      </c>
      <c r="C398" s="1" t="s">
        <v>190</v>
      </c>
      <c r="F398" s="17">
        <v>139611.79999999999</v>
      </c>
      <c r="G398" s="32">
        <v>2140807341.2</v>
      </c>
      <c r="H398" s="3">
        <f t="shared" si="63"/>
        <v>-1045458.4599999995</v>
      </c>
      <c r="I398" s="4">
        <f t="shared" si="64"/>
        <v>-15821467336.476006</v>
      </c>
    </row>
    <row r="399" spans="1:9" ht="15" customHeight="1" x14ac:dyDescent="0.2">
      <c r="A399" s="2">
        <v>45177</v>
      </c>
      <c r="C399" s="1" t="s">
        <v>17</v>
      </c>
      <c r="F399" s="17">
        <v>30</v>
      </c>
      <c r="G399" s="32">
        <v>460020</v>
      </c>
      <c r="H399" s="3">
        <f t="shared" si="63"/>
        <v>-1045488.4599999995</v>
      </c>
      <c r="I399" s="4">
        <f t="shared" si="64"/>
        <v>-15821927356.476006</v>
      </c>
    </row>
    <row r="400" spans="1:9" ht="15" customHeight="1" x14ac:dyDescent="0.2">
      <c r="A400" s="2">
        <v>45177</v>
      </c>
      <c r="C400" s="1" t="s">
        <v>391</v>
      </c>
      <c r="D400" s="17">
        <v>30000</v>
      </c>
      <c r="E400" s="32">
        <v>461490000</v>
      </c>
      <c r="F400" s="17"/>
      <c r="G400" s="32"/>
      <c r="H400" s="3">
        <f t="shared" si="63"/>
        <v>-1015488.4599999995</v>
      </c>
      <c r="I400" s="4">
        <f t="shared" si="64"/>
        <v>-15360437356.476006</v>
      </c>
    </row>
    <row r="401" spans="1:12" ht="15" customHeight="1" x14ac:dyDescent="0.2">
      <c r="A401" s="2">
        <v>45177</v>
      </c>
      <c r="C401" s="1" t="s">
        <v>391</v>
      </c>
      <c r="D401" s="175">
        <v>18000</v>
      </c>
      <c r="E401" s="176">
        <v>276894000</v>
      </c>
      <c r="F401" s="17"/>
      <c r="G401" s="32"/>
      <c r="H401" s="3">
        <f t="shared" si="63"/>
        <v>-997488.4599999995</v>
      </c>
      <c r="I401" s="4">
        <f t="shared" si="64"/>
        <v>-15083543356.476006</v>
      </c>
    </row>
    <row r="402" spans="1:12" ht="15" customHeight="1" x14ac:dyDescent="0.2">
      <c r="A402" s="2">
        <v>45177</v>
      </c>
      <c r="C402" s="1" t="s">
        <v>391</v>
      </c>
      <c r="D402" s="17">
        <v>30000</v>
      </c>
      <c r="E402" s="32">
        <v>461490000</v>
      </c>
      <c r="F402" s="17"/>
      <c r="G402" s="32"/>
      <c r="H402" s="3">
        <f t="shared" si="63"/>
        <v>-967488.4599999995</v>
      </c>
      <c r="I402" s="4">
        <f t="shared" si="64"/>
        <v>-14622053356.476006</v>
      </c>
    </row>
    <row r="403" spans="1:12" ht="15" customHeight="1" x14ac:dyDescent="0.2">
      <c r="A403" s="2">
        <v>45181</v>
      </c>
      <c r="C403" s="1" t="s">
        <v>190</v>
      </c>
      <c r="D403" s="17"/>
      <c r="E403" s="32"/>
      <c r="F403" s="17">
        <v>73453.2</v>
      </c>
      <c r="G403" s="32">
        <v>1127653526.4000001</v>
      </c>
      <c r="H403" s="3">
        <f t="shared" si="63"/>
        <v>-1040941.6599999995</v>
      </c>
      <c r="I403" s="4">
        <f t="shared" si="64"/>
        <v>-15749706882.876005</v>
      </c>
    </row>
    <row r="404" spans="1:12" ht="15" customHeight="1" x14ac:dyDescent="0.2">
      <c r="A404" s="2">
        <v>45181</v>
      </c>
      <c r="C404" s="1" t="s">
        <v>17</v>
      </c>
      <c r="D404" s="17"/>
      <c r="E404" s="32"/>
      <c r="F404" s="17">
        <v>30</v>
      </c>
      <c r="G404" s="32">
        <v>460560</v>
      </c>
      <c r="H404" s="3">
        <f t="shared" si="63"/>
        <v>-1040971.6599999995</v>
      </c>
      <c r="I404" s="4">
        <f t="shared" si="64"/>
        <v>-15750167442.876005</v>
      </c>
    </row>
    <row r="405" spans="1:12" ht="15" customHeight="1" x14ac:dyDescent="0.2">
      <c r="A405" s="2">
        <v>45191</v>
      </c>
      <c r="B405" s="2"/>
      <c r="C405" s="1" t="s">
        <v>359</v>
      </c>
      <c r="D405" s="177">
        <v>12960</v>
      </c>
      <c r="E405" s="208">
        <v>195475680</v>
      </c>
      <c r="F405" s="155"/>
      <c r="G405" s="72"/>
      <c r="H405" s="3">
        <f t="shared" si="63"/>
        <v>-1028011.6599999995</v>
      </c>
      <c r="I405" s="4">
        <f t="shared" si="64"/>
        <v>-15554691762.876005</v>
      </c>
    </row>
    <row r="406" spans="1:12" ht="15" customHeight="1" x14ac:dyDescent="0.2">
      <c r="A406" s="2">
        <v>45196</v>
      </c>
      <c r="C406" s="1" t="s">
        <v>294</v>
      </c>
      <c r="D406" s="17"/>
      <c r="E406" s="32"/>
      <c r="F406" s="17">
        <v>17287</v>
      </c>
      <c r="G406" s="32">
        <v>267326168</v>
      </c>
      <c r="H406" s="3">
        <f t="shared" si="63"/>
        <v>-1045298.6599999995</v>
      </c>
      <c r="I406" s="4">
        <f t="shared" si="64"/>
        <v>-15822017930.876005</v>
      </c>
    </row>
    <row r="407" spans="1:12" ht="15" customHeight="1" x14ac:dyDescent="0.2">
      <c r="A407" s="2">
        <v>45196</v>
      </c>
      <c r="C407" s="1" t="s">
        <v>17</v>
      </c>
      <c r="D407" s="17"/>
      <c r="E407" s="32"/>
      <c r="F407" s="17">
        <v>17</v>
      </c>
      <c r="G407" s="32">
        <v>262888</v>
      </c>
      <c r="H407" s="3">
        <f t="shared" si="63"/>
        <v>-1045315.6599999995</v>
      </c>
      <c r="I407" s="4">
        <f t="shared" si="64"/>
        <v>-15822280818.876005</v>
      </c>
    </row>
    <row r="408" spans="1:12" ht="15" customHeight="1" x14ac:dyDescent="0.2">
      <c r="A408" s="2">
        <v>45198</v>
      </c>
      <c r="C408" s="1" t="s">
        <v>294</v>
      </c>
      <c r="D408" s="17"/>
      <c r="E408" s="32"/>
      <c r="F408" s="17">
        <v>18206.2</v>
      </c>
      <c r="G408" s="32">
        <v>282669461.19999999</v>
      </c>
      <c r="H408" s="3">
        <f t="shared" si="63"/>
        <v>-1063521.8599999994</v>
      </c>
      <c r="I408" s="4">
        <f t="shared" si="64"/>
        <v>-16104950280.076006</v>
      </c>
    </row>
    <row r="409" spans="1:12" ht="15" customHeight="1" x14ac:dyDescent="0.2">
      <c r="A409" s="2">
        <v>45198</v>
      </c>
      <c r="C409" s="1" t="s">
        <v>17</v>
      </c>
      <c r="D409" s="17"/>
      <c r="E409" s="32"/>
      <c r="F409" s="17">
        <v>17</v>
      </c>
      <c r="G409" s="32">
        <v>263942</v>
      </c>
      <c r="H409" s="6">
        <f t="shared" si="63"/>
        <v>-1063538.8599999994</v>
      </c>
      <c r="I409" s="7">
        <f t="shared" si="64"/>
        <v>-16105214222.076006</v>
      </c>
    </row>
    <row r="411" spans="1:12" ht="15" customHeight="1" x14ac:dyDescent="0.2">
      <c r="D411" s="17"/>
      <c r="E411" s="32"/>
      <c r="F411" s="17"/>
      <c r="G411" s="32"/>
    </row>
    <row r="412" spans="1:12" ht="15" customHeight="1" x14ac:dyDescent="0.2">
      <c r="D412" s="17"/>
      <c r="E412" s="32"/>
      <c r="F412" s="17"/>
      <c r="G412" s="32"/>
    </row>
    <row r="413" spans="1:12" ht="15" customHeight="1" x14ac:dyDescent="0.2">
      <c r="D413" s="17"/>
      <c r="E413" s="32"/>
      <c r="F413" s="17"/>
      <c r="G413" s="32"/>
    </row>
    <row r="414" spans="1:12" ht="15" customHeight="1" x14ac:dyDescent="0.2">
      <c r="A414" s="2">
        <v>45203</v>
      </c>
      <c r="C414" s="1" t="s">
        <v>190</v>
      </c>
      <c r="D414" s="17"/>
      <c r="E414" s="32"/>
      <c r="F414" s="17">
        <v>63927.6</v>
      </c>
      <c r="G414" s="32">
        <v>997270560</v>
      </c>
      <c r="H414" s="3">
        <f>+H409+D414-F414</f>
        <v>-1127466.4599999995</v>
      </c>
      <c r="I414" s="4">
        <f>+I409+E414-G414</f>
        <v>-17102484782.076006</v>
      </c>
    </row>
    <row r="415" spans="1:12" ht="15" customHeight="1" x14ac:dyDescent="0.2">
      <c r="A415" s="2">
        <v>45203</v>
      </c>
      <c r="C415" s="1" t="s">
        <v>17</v>
      </c>
      <c r="D415" s="17"/>
      <c r="E415" s="32"/>
      <c r="F415" s="17">
        <v>30</v>
      </c>
      <c r="G415" s="32">
        <v>468000</v>
      </c>
      <c r="H415" s="3">
        <f t="shared" ref="H415:I421" si="65">+H414+D415-F415</f>
        <v>-1127496.4599999995</v>
      </c>
      <c r="I415" s="4">
        <f t="shared" si="65"/>
        <v>-17102952782.076006</v>
      </c>
    </row>
    <row r="416" spans="1:12" ht="15" customHeight="1" x14ac:dyDescent="0.2">
      <c r="A416" s="212">
        <v>45206</v>
      </c>
      <c r="B416" s="212"/>
      <c r="C416" s="40" t="s">
        <v>410</v>
      </c>
      <c r="D416" s="155">
        <v>17832</v>
      </c>
      <c r="E416" s="25">
        <v>273239736</v>
      </c>
      <c r="F416" s="1"/>
      <c r="G416" s="1"/>
      <c r="H416" s="3">
        <f t="shared" si="65"/>
        <v>-1109664.4599999995</v>
      </c>
      <c r="I416" s="4">
        <f t="shared" si="65"/>
        <v>-16829713046.076006</v>
      </c>
      <c r="K416" s="1"/>
      <c r="L416" s="1"/>
    </row>
    <row r="417" spans="1:12" ht="15" customHeight="1" x14ac:dyDescent="0.2">
      <c r="A417" s="212">
        <v>45209</v>
      </c>
      <c r="B417" s="2"/>
      <c r="C417" s="1" t="s">
        <v>367</v>
      </c>
      <c r="D417" s="117">
        <v>13000</v>
      </c>
      <c r="E417" s="151">
        <v>199862000</v>
      </c>
      <c r="F417" s="1"/>
      <c r="G417" s="1"/>
      <c r="H417" s="3">
        <f t="shared" si="65"/>
        <v>-1096664.4599999995</v>
      </c>
      <c r="I417" s="4">
        <f t="shared" si="65"/>
        <v>-16629851046.076006</v>
      </c>
      <c r="K417" s="1"/>
      <c r="L417" s="1"/>
    </row>
    <row r="418" spans="1:12" ht="15" customHeight="1" x14ac:dyDescent="0.2">
      <c r="A418" s="212">
        <v>44854</v>
      </c>
      <c r="B418" s="40"/>
      <c r="C418" s="40" t="s">
        <v>409</v>
      </c>
      <c r="D418" s="171">
        <v>12530.7</v>
      </c>
      <c r="E418" s="172">
        <v>194113073.69999999</v>
      </c>
      <c r="H418" s="3">
        <f t="shared" si="65"/>
        <v>-1084133.7599999995</v>
      </c>
      <c r="I418" s="4">
        <f t="shared" si="65"/>
        <v>-16435737972.376005</v>
      </c>
      <c r="K418" s="1"/>
      <c r="L418" s="1"/>
    </row>
    <row r="419" spans="1:12" ht="15" customHeight="1" x14ac:dyDescent="0.2">
      <c r="A419" s="2">
        <v>45223</v>
      </c>
      <c r="C419" s="1" t="s">
        <v>190</v>
      </c>
      <c r="D419" s="17"/>
      <c r="E419" s="32"/>
      <c r="F419" s="17">
        <v>12310.8</v>
      </c>
      <c r="G419" s="32">
        <v>196271084.40000001</v>
      </c>
      <c r="H419" s="3">
        <f t="shared" si="65"/>
        <v>-1096444.5599999996</v>
      </c>
      <c r="I419" s="4">
        <f t="shared" si="65"/>
        <v>-16632009056.776005</v>
      </c>
    </row>
    <row r="420" spans="1:12" ht="15" customHeight="1" x14ac:dyDescent="0.2">
      <c r="A420" s="2">
        <v>45223</v>
      </c>
      <c r="B420" s="2"/>
      <c r="C420" s="1" t="s">
        <v>17</v>
      </c>
      <c r="E420" s="32"/>
      <c r="F420" s="3">
        <v>30</v>
      </c>
      <c r="G420" s="32">
        <v>478290</v>
      </c>
      <c r="H420" s="3">
        <f t="shared" si="65"/>
        <v>-1096474.5599999996</v>
      </c>
      <c r="I420" s="4">
        <f t="shared" si="65"/>
        <v>-16632487346.776005</v>
      </c>
      <c r="K420" s="1"/>
      <c r="L420" s="1"/>
    </row>
    <row r="421" spans="1:12" ht="15" customHeight="1" x14ac:dyDescent="0.2">
      <c r="A421" s="2">
        <v>45223</v>
      </c>
      <c r="C421" s="1" t="s">
        <v>391</v>
      </c>
      <c r="D421" s="17">
        <v>30000</v>
      </c>
      <c r="E421" s="32">
        <v>461490000</v>
      </c>
      <c r="H421" s="3">
        <f t="shared" si="65"/>
        <v>-1066474.5599999996</v>
      </c>
      <c r="I421" s="4">
        <f t="shared" si="65"/>
        <v>-16170997346.776005</v>
      </c>
    </row>
    <row r="422" spans="1:12" ht="15" customHeight="1" x14ac:dyDescent="0.2">
      <c r="A422" s="2">
        <v>45230</v>
      </c>
      <c r="C422" s="1" t="s">
        <v>414</v>
      </c>
      <c r="D422" s="17">
        <v>30000</v>
      </c>
      <c r="E422" s="32">
        <v>460560000</v>
      </c>
      <c r="H422" s="6">
        <f t="shared" ref="H422" si="66">+H421+D422-F422</f>
        <v>-1036474.5599999996</v>
      </c>
      <c r="I422" s="7">
        <f t="shared" ref="I422" si="67">+I421+E422-G422</f>
        <v>-15710437346.776005</v>
      </c>
    </row>
    <row r="426" spans="1:12" ht="15" customHeight="1" x14ac:dyDescent="0.2">
      <c r="A426" s="2">
        <v>45231</v>
      </c>
      <c r="B426" s="2"/>
      <c r="C426" s="1" t="s">
        <v>367</v>
      </c>
      <c r="D426" s="117">
        <v>24000</v>
      </c>
      <c r="E426" s="151">
        <v>368976000</v>
      </c>
      <c r="H426" s="3">
        <f>+H422+D426-F426</f>
        <v>-1012474.5599999996</v>
      </c>
      <c r="I426" s="4">
        <f>+I422+E426-G426</f>
        <v>-15341461346.776005</v>
      </c>
    </row>
    <row r="427" spans="1:12" ht="15" customHeight="1" x14ac:dyDescent="0.2">
      <c r="A427" s="2">
        <v>45231</v>
      </c>
      <c r="B427" s="2"/>
      <c r="C427" s="1" t="s">
        <v>367</v>
      </c>
      <c r="D427" s="117">
        <v>3000</v>
      </c>
      <c r="E427" s="151">
        <v>46122000</v>
      </c>
      <c r="H427" s="3">
        <f>+H426+D427-F427</f>
        <v>-1009474.5599999996</v>
      </c>
      <c r="I427" s="4">
        <f>+I426+E427-G427</f>
        <v>-15295339346.776005</v>
      </c>
    </row>
    <row r="428" spans="1:12" ht="15" customHeight="1" x14ac:dyDescent="0.2">
      <c r="A428" s="2">
        <v>45236</v>
      </c>
      <c r="C428" s="1" t="s">
        <v>414</v>
      </c>
      <c r="D428" s="17">
        <v>20000</v>
      </c>
      <c r="E428" s="32">
        <v>307040000</v>
      </c>
      <c r="H428" s="3">
        <f t="shared" ref="H428:H429" si="68">+H427+D428-F428</f>
        <v>-989474.55999999959</v>
      </c>
      <c r="I428" s="4">
        <f t="shared" ref="I428:I429" si="69">+I427+E428-G428</f>
        <v>-14988299346.776005</v>
      </c>
    </row>
    <row r="429" spans="1:12" ht="15" customHeight="1" x14ac:dyDescent="0.2">
      <c r="A429" s="2">
        <v>45236</v>
      </c>
      <c r="C429" s="1" t="s">
        <v>435</v>
      </c>
      <c r="D429" s="17">
        <v>10000</v>
      </c>
      <c r="E429" s="32">
        <v>156000000</v>
      </c>
      <c r="H429" s="3">
        <f t="shared" si="68"/>
        <v>-979474.55999999959</v>
      </c>
      <c r="I429" s="4">
        <f t="shared" si="69"/>
        <v>-14832299346.776005</v>
      </c>
    </row>
    <row r="430" spans="1:12" ht="15" customHeight="1" x14ac:dyDescent="0.2">
      <c r="A430" s="2">
        <v>45243</v>
      </c>
      <c r="C430" s="1" t="s">
        <v>439</v>
      </c>
      <c r="D430" s="3">
        <v>133788</v>
      </c>
      <c r="E430" s="32">
        <v>1997384560.4000001</v>
      </c>
      <c r="F430" s="102"/>
      <c r="G430" s="151"/>
      <c r="H430" s="3">
        <f t="shared" ref="H430:H432" si="70">+H429+D430-F430</f>
        <v>-845686.55999999959</v>
      </c>
      <c r="I430" s="4">
        <f t="shared" ref="I430:I432" si="71">+I429+E430-G430</f>
        <v>-12834914786.376005</v>
      </c>
    </row>
    <row r="431" spans="1:12" ht="15" customHeight="1" x14ac:dyDescent="0.2">
      <c r="A431" s="2">
        <v>45243</v>
      </c>
      <c r="C431" s="1" t="s">
        <v>190</v>
      </c>
      <c r="E431" s="32"/>
      <c r="F431" s="3">
        <v>133788</v>
      </c>
      <c r="G431" s="32">
        <v>1997384560.4000001</v>
      </c>
      <c r="H431" s="3">
        <f t="shared" si="70"/>
        <v>-979474.55999999959</v>
      </c>
      <c r="I431" s="4">
        <f t="shared" si="71"/>
        <v>-14832299346.776005</v>
      </c>
    </row>
    <row r="432" spans="1:12" ht="15" customHeight="1" x14ac:dyDescent="0.2">
      <c r="A432" s="2">
        <v>45245</v>
      </c>
      <c r="C432" s="1" t="s">
        <v>367</v>
      </c>
      <c r="D432" s="117">
        <v>12000</v>
      </c>
      <c r="E432" s="151">
        <v>184488000</v>
      </c>
      <c r="H432" s="3">
        <f t="shared" si="70"/>
        <v>-967474.55999999959</v>
      </c>
      <c r="I432" s="4">
        <f t="shared" si="71"/>
        <v>-14647811346.776005</v>
      </c>
    </row>
    <row r="433" spans="1:12" ht="15" customHeight="1" x14ac:dyDescent="0.2">
      <c r="A433" s="2">
        <v>45245</v>
      </c>
      <c r="B433" s="2"/>
      <c r="C433" s="1" t="s">
        <v>367</v>
      </c>
      <c r="D433" s="117">
        <v>12000</v>
      </c>
      <c r="E433" s="151">
        <v>184488000</v>
      </c>
      <c r="F433" s="1"/>
      <c r="G433" s="1"/>
      <c r="H433" s="3">
        <f t="shared" ref="H433:H443" si="72">+H432+D433-F433</f>
        <v>-955474.55999999959</v>
      </c>
      <c r="I433" s="4">
        <f t="shared" ref="I433:I443" si="73">+I432+E433-G433</f>
        <v>-14463323346.776005</v>
      </c>
      <c r="K433" s="1"/>
      <c r="L433" s="1"/>
    </row>
    <row r="434" spans="1:12" ht="15" customHeight="1" x14ac:dyDescent="0.2">
      <c r="A434" s="2">
        <v>45245</v>
      </c>
      <c r="B434" s="2"/>
      <c r="C434" s="1" t="s">
        <v>367</v>
      </c>
      <c r="D434" s="117">
        <v>13000</v>
      </c>
      <c r="E434" s="151">
        <v>199862000</v>
      </c>
      <c r="F434" s="1"/>
      <c r="G434" s="1"/>
      <c r="H434" s="3">
        <f t="shared" si="72"/>
        <v>-942474.55999999959</v>
      </c>
      <c r="I434" s="4">
        <f t="shared" si="73"/>
        <v>-14263461346.776005</v>
      </c>
      <c r="K434" s="1"/>
      <c r="L434" s="1"/>
    </row>
    <row r="435" spans="1:12" ht="15" customHeight="1" x14ac:dyDescent="0.2">
      <c r="A435" s="2">
        <v>45252</v>
      </c>
      <c r="C435" s="1" t="s">
        <v>436</v>
      </c>
      <c r="D435" s="17">
        <v>17304</v>
      </c>
      <c r="E435" s="32">
        <v>267589056</v>
      </c>
      <c r="H435" s="3">
        <f t="shared" si="72"/>
        <v>-925170.55999999959</v>
      </c>
      <c r="I435" s="4">
        <f t="shared" si="73"/>
        <v>-13995872290.776005</v>
      </c>
    </row>
    <row r="436" spans="1:12" ht="15" customHeight="1" x14ac:dyDescent="0.2">
      <c r="A436" s="2">
        <v>45252</v>
      </c>
      <c r="C436" s="1" t="s">
        <v>435</v>
      </c>
      <c r="D436" s="17">
        <v>20000</v>
      </c>
      <c r="E436" s="32">
        <v>312000000</v>
      </c>
      <c r="H436" s="3">
        <f t="shared" si="72"/>
        <v>-905170.55999999959</v>
      </c>
      <c r="I436" s="4">
        <f t="shared" si="73"/>
        <v>-13683872290.776005</v>
      </c>
    </row>
    <row r="437" spans="1:12" ht="15" customHeight="1" x14ac:dyDescent="0.2">
      <c r="A437" s="2">
        <v>45252</v>
      </c>
      <c r="C437" s="1" t="s">
        <v>391</v>
      </c>
      <c r="D437" s="17">
        <v>10000</v>
      </c>
      <c r="E437" s="32">
        <v>153520000</v>
      </c>
      <c r="H437" s="3">
        <f t="shared" si="72"/>
        <v>-895170.55999999959</v>
      </c>
      <c r="I437" s="4">
        <f t="shared" si="73"/>
        <v>-13530352290.776005</v>
      </c>
    </row>
    <row r="438" spans="1:12" ht="15" customHeight="1" x14ac:dyDescent="0.2">
      <c r="A438" s="2">
        <v>45252</v>
      </c>
      <c r="C438" s="1" t="s">
        <v>414</v>
      </c>
      <c r="D438" s="17">
        <v>10000</v>
      </c>
      <c r="E438" s="32">
        <v>153830000</v>
      </c>
      <c r="H438" s="3">
        <f t="shared" si="72"/>
        <v>-885170.55999999959</v>
      </c>
      <c r="I438" s="4">
        <f t="shared" si="73"/>
        <v>-13376522290.776005</v>
      </c>
    </row>
    <row r="439" spans="1:12" ht="15" customHeight="1" x14ac:dyDescent="0.2">
      <c r="A439" s="2">
        <v>45254</v>
      </c>
      <c r="B439" s="2"/>
      <c r="C439" s="1" t="s">
        <v>367</v>
      </c>
      <c r="D439" s="117">
        <v>23669</v>
      </c>
      <c r="E439" s="151">
        <v>363887206</v>
      </c>
      <c r="F439" s="1"/>
      <c r="G439" s="1"/>
      <c r="H439" s="3">
        <f t="shared" si="72"/>
        <v>-861501.55999999959</v>
      </c>
      <c r="I439" s="4">
        <f t="shared" si="73"/>
        <v>-13012635084.776005</v>
      </c>
      <c r="K439" s="1"/>
      <c r="L439" s="1"/>
    </row>
    <row r="440" spans="1:12" ht="15" customHeight="1" x14ac:dyDescent="0.2">
      <c r="A440" s="2">
        <v>45254</v>
      </c>
      <c r="B440" s="2"/>
      <c r="C440" s="1" t="s">
        <v>367</v>
      </c>
      <c r="D440" s="117">
        <v>45780</v>
      </c>
      <c r="E440" s="151">
        <v>703821720</v>
      </c>
      <c r="F440" s="1"/>
      <c r="G440" s="1"/>
      <c r="H440" s="3">
        <f t="shared" si="72"/>
        <v>-815721.55999999959</v>
      </c>
      <c r="I440" s="4">
        <f t="shared" si="73"/>
        <v>-12308813364.776005</v>
      </c>
      <c r="K440" s="1"/>
      <c r="L440" s="1"/>
    </row>
    <row r="441" spans="1:12" ht="15" customHeight="1" x14ac:dyDescent="0.2">
      <c r="A441" s="2">
        <v>45257</v>
      </c>
      <c r="C441" s="1" t="s">
        <v>414</v>
      </c>
      <c r="D441" s="17">
        <v>13483.2</v>
      </c>
      <c r="E441" s="32">
        <v>206994086.40000001</v>
      </c>
      <c r="H441" s="3">
        <f t="shared" si="72"/>
        <v>-802238.35999999964</v>
      </c>
      <c r="I441" s="4">
        <f t="shared" si="73"/>
        <v>-12101819278.376005</v>
      </c>
    </row>
    <row r="442" spans="1:12" ht="15" customHeight="1" x14ac:dyDescent="0.2">
      <c r="A442" s="2">
        <v>45257</v>
      </c>
      <c r="C442" s="1" t="s">
        <v>435</v>
      </c>
      <c r="D442" s="17">
        <v>10000</v>
      </c>
      <c r="E442" s="32">
        <v>156000000</v>
      </c>
      <c r="H442" s="3">
        <f t="shared" si="72"/>
        <v>-792238.35999999964</v>
      </c>
      <c r="I442" s="4">
        <f t="shared" si="73"/>
        <v>-11945819278.376005</v>
      </c>
    </row>
    <row r="443" spans="1:12" ht="15" customHeight="1" x14ac:dyDescent="0.2">
      <c r="A443" s="2">
        <v>45257</v>
      </c>
      <c r="C443" s="1" t="s">
        <v>437</v>
      </c>
      <c r="D443" s="17">
        <v>12340.8</v>
      </c>
      <c r="E443" s="32">
        <v>196749374.40000001</v>
      </c>
      <c r="H443" s="3">
        <f t="shared" si="72"/>
        <v>-779897.55999999959</v>
      </c>
      <c r="I443" s="4">
        <f t="shared" si="73"/>
        <v>-11749069903.976006</v>
      </c>
    </row>
    <row r="444" spans="1:12" ht="15" customHeight="1" x14ac:dyDescent="0.2">
      <c r="A444" s="2">
        <v>45259</v>
      </c>
      <c r="C444" s="1" t="s">
        <v>441</v>
      </c>
      <c r="D444" s="17">
        <v>20000</v>
      </c>
      <c r="E444" s="32">
        <v>298589493.884</v>
      </c>
      <c r="F444" s="1"/>
      <c r="G444" s="1"/>
      <c r="H444" s="3">
        <f t="shared" ref="H444:H445" si="74">+H443+D444-F444</f>
        <v>-759897.55999999959</v>
      </c>
      <c r="I444" s="4">
        <f t="shared" ref="I444:I445" si="75">+I443+E444-G444</f>
        <v>-11450480410.092005</v>
      </c>
    </row>
    <row r="445" spans="1:12" ht="15" customHeight="1" x14ac:dyDescent="0.2">
      <c r="A445" s="2">
        <v>45259</v>
      </c>
      <c r="C445" s="1" t="s">
        <v>435</v>
      </c>
      <c r="D445" s="17">
        <v>10000</v>
      </c>
      <c r="E445" s="32">
        <v>156000000</v>
      </c>
      <c r="H445" s="6">
        <f t="shared" si="74"/>
        <v>-749897.55999999959</v>
      </c>
      <c r="I445" s="7">
        <f t="shared" si="75"/>
        <v>-11294480410.092005</v>
      </c>
    </row>
    <row r="446" spans="1:12" ht="15" customHeight="1" x14ac:dyDescent="0.2">
      <c r="A446" s="1"/>
      <c r="D446" s="1"/>
      <c r="E446" s="1"/>
      <c r="F446" s="1"/>
      <c r="G446" s="1"/>
    </row>
    <row r="447" spans="1:12" ht="15" customHeight="1" x14ac:dyDescent="0.2">
      <c r="D447" s="17"/>
      <c r="E447" s="32"/>
      <c r="F447" s="17"/>
      <c r="G447" s="32"/>
    </row>
    <row r="448" spans="1:12" ht="15" customHeight="1" x14ac:dyDescent="0.2">
      <c r="A448" s="2">
        <v>45266</v>
      </c>
      <c r="C448" s="1" t="s">
        <v>450</v>
      </c>
      <c r="D448" s="114">
        <v>22530.7</v>
      </c>
      <c r="E448" s="139">
        <v>349023073.69999999</v>
      </c>
      <c r="H448" s="3">
        <f>+H445+D448-F448</f>
        <v>-727366.85999999964</v>
      </c>
      <c r="I448" s="4">
        <f>+I445+E448-G448</f>
        <v>-10945457336.392004</v>
      </c>
    </row>
    <row r="449" spans="1:9" ht="15" customHeight="1" x14ac:dyDescent="0.2">
      <c r="A449" s="2">
        <v>45273</v>
      </c>
      <c r="B449" s="2"/>
      <c r="C449" s="1" t="s">
        <v>454</v>
      </c>
      <c r="D449" s="175">
        <v>68706</v>
      </c>
      <c r="E449" s="32">
        <v>1013138676</v>
      </c>
      <c r="F449" s="1"/>
      <c r="G449" s="1"/>
      <c r="H449" s="3">
        <f t="shared" ref="H449:I453" si="76">+H448+D449-F449</f>
        <v>-658660.85999999964</v>
      </c>
      <c r="I449" s="4">
        <f t="shared" si="76"/>
        <v>-9932318660.392004</v>
      </c>
    </row>
    <row r="450" spans="1:9" ht="15" customHeight="1" x14ac:dyDescent="0.2">
      <c r="A450" s="2">
        <v>45278</v>
      </c>
      <c r="C450" s="1" t="s">
        <v>435</v>
      </c>
      <c r="D450" s="17">
        <v>13957.6</v>
      </c>
      <c r="E450" s="32">
        <v>217738560</v>
      </c>
      <c r="H450" s="3">
        <f t="shared" si="76"/>
        <v>-644703.25999999966</v>
      </c>
      <c r="I450" s="4">
        <f t="shared" si="76"/>
        <v>-9714580100.392004</v>
      </c>
    </row>
    <row r="451" spans="1:9" ht="15" customHeight="1" x14ac:dyDescent="0.2">
      <c r="A451" s="2">
        <v>45278</v>
      </c>
      <c r="C451" s="1" t="s">
        <v>441</v>
      </c>
      <c r="D451" s="17">
        <v>10000</v>
      </c>
      <c r="E451" s="32">
        <v>149294746.94343901</v>
      </c>
      <c r="H451" s="3">
        <f t="shared" si="76"/>
        <v>-634703.25999999966</v>
      </c>
      <c r="I451" s="4">
        <f t="shared" si="76"/>
        <v>-9565285353.4485645</v>
      </c>
    </row>
    <row r="452" spans="1:9" ht="15" customHeight="1" x14ac:dyDescent="0.2">
      <c r="A452" s="2">
        <v>45280</v>
      </c>
      <c r="C452" s="1" t="s">
        <v>451</v>
      </c>
      <c r="D452" s="17">
        <v>18223.2</v>
      </c>
      <c r="E452" s="32">
        <v>282933403.19999999</v>
      </c>
      <c r="H452" s="3">
        <f t="shared" si="76"/>
        <v>-616480.05999999971</v>
      </c>
      <c r="I452" s="4">
        <f t="shared" si="76"/>
        <v>-9282351950.2485638</v>
      </c>
    </row>
    <row r="453" spans="1:9" ht="15" customHeight="1" x14ac:dyDescent="0.2">
      <c r="A453" s="2">
        <v>45281</v>
      </c>
      <c r="C453" s="1" t="s">
        <v>441</v>
      </c>
      <c r="D453" s="17">
        <v>30000</v>
      </c>
      <c r="E453" s="32">
        <v>447884240.82999998</v>
      </c>
      <c r="H453" s="6">
        <f t="shared" si="76"/>
        <v>-586480.05999999971</v>
      </c>
      <c r="I453" s="7">
        <f t="shared" si="76"/>
        <v>-8834467709.4185638</v>
      </c>
    </row>
    <row r="455" spans="1:9" ht="15" customHeight="1" x14ac:dyDescent="0.2">
      <c r="D455" s="17"/>
      <c r="E455" s="32"/>
      <c r="F455" s="17"/>
      <c r="G455" s="32"/>
    </row>
    <row r="456" spans="1:9" ht="15" customHeight="1" x14ac:dyDescent="0.2">
      <c r="D456" s="17"/>
      <c r="E456" s="32"/>
      <c r="F456" s="17"/>
      <c r="G456" s="32"/>
    </row>
    <row r="457" spans="1:9" ht="15" customHeight="1" x14ac:dyDescent="0.2">
      <c r="D457" s="17"/>
      <c r="E457" s="32"/>
      <c r="F457" s="17"/>
      <c r="G457" s="32"/>
    </row>
    <row r="458" spans="1:9" ht="15" customHeight="1" x14ac:dyDescent="0.2">
      <c r="D458" s="17"/>
      <c r="E458" s="32"/>
      <c r="F458" s="17"/>
      <c r="G458" s="32"/>
    </row>
    <row r="459" spans="1:9" ht="15" customHeight="1" x14ac:dyDescent="0.2">
      <c r="D459" s="17"/>
      <c r="E459" s="32"/>
      <c r="F459" s="17"/>
      <c r="G459" s="32"/>
    </row>
    <row r="460" spans="1:9" ht="15" customHeight="1" x14ac:dyDescent="0.2">
      <c r="D460" s="17"/>
      <c r="E460" s="32"/>
      <c r="F460" s="17"/>
      <c r="G460" s="32"/>
    </row>
    <row r="461" spans="1:9" ht="15" customHeight="1" x14ac:dyDescent="0.2">
      <c r="D461" s="17"/>
      <c r="E461" s="32"/>
      <c r="F461" s="17"/>
      <c r="G461" s="32"/>
    </row>
    <row r="462" spans="1:9" ht="15" customHeight="1" x14ac:dyDescent="0.2">
      <c r="D462" s="17"/>
      <c r="E462" s="32"/>
      <c r="F462" s="17"/>
      <c r="G462" s="32"/>
    </row>
    <row r="463" spans="1:9" ht="15" customHeight="1" x14ac:dyDescent="0.2">
      <c r="D463" s="17"/>
      <c r="E463" s="32"/>
      <c r="F463" s="17"/>
      <c r="G463" s="32"/>
    </row>
    <row r="464" spans="1:9" ht="15" customHeight="1" x14ac:dyDescent="0.2">
      <c r="D464" s="17"/>
      <c r="E464" s="32"/>
      <c r="F464" s="17"/>
      <c r="G464" s="32"/>
    </row>
    <row r="465" spans="4:7" ht="15" customHeight="1" x14ac:dyDescent="0.2">
      <c r="D465" s="17"/>
      <c r="E465" s="32"/>
      <c r="F465" s="17"/>
      <c r="G465" s="32"/>
    </row>
    <row r="466" spans="4:7" ht="15" customHeight="1" x14ac:dyDescent="0.2">
      <c r="D466" s="17"/>
      <c r="E466" s="32"/>
      <c r="F466" s="17"/>
      <c r="G466" s="32"/>
    </row>
    <row r="467" spans="4:7" ht="15" customHeight="1" x14ac:dyDescent="0.2">
      <c r="D467" s="17"/>
      <c r="E467" s="32"/>
      <c r="F467" s="17"/>
      <c r="G467" s="32"/>
    </row>
    <row r="468" spans="4:7" ht="15" customHeight="1" x14ac:dyDescent="0.2">
      <c r="D468" s="17"/>
      <c r="E468" s="32"/>
      <c r="F468" s="17"/>
      <c r="G468" s="32"/>
    </row>
    <row r="469" spans="4:7" ht="15" customHeight="1" x14ac:dyDescent="0.2">
      <c r="D469" s="17"/>
      <c r="E469" s="32"/>
      <c r="F469" s="17"/>
      <c r="G469" s="32"/>
    </row>
    <row r="470" spans="4:7" ht="15" customHeight="1" x14ac:dyDescent="0.2">
      <c r="D470" s="17"/>
      <c r="E470" s="32"/>
      <c r="F470" s="17"/>
      <c r="G470" s="32"/>
    </row>
    <row r="471" spans="4:7" ht="15" customHeight="1" x14ac:dyDescent="0.2">
      <c r="D471" s="17"/>
      <c r="E471" s="32"/>
      <c r="F471" s="17"/>
      <c r="G471" s="32"/>
    </row>
    <row r="472" spans="4:7" ht="15" customHeight="1" x14ac:dyDescent="0.2">
      <c r="D472" s="17"/>
      <c r="E472" s="32"/>
      <c r="F472" s="17"/>
      <c r="G472" s="32"/>
    </row>
    <row r="473" spans="4:7" ht="15" customHeight="1" x14ac:dyDescent="0.2">
      <c r="D473" s="17"/>
      <c r="E473" s="32"/>
      <c r="F473" s="17"/>
      <c r="G473" s="32"/>
    </row>
    <row r="474" spans="4:7" ht="15" customHeight="1" x14ac:dyDescent="0.2">
      <c r="D474" s="17"/>
      <c r="E474" s="32"/>
      <c r="F474" s="17"/>
      <c r="G474" s="32"/>
    </row>
    <row r="475" spans="4:7" ht="15" customHeight="1" x14ac:dyDescent="0.2">
      <c r="D475" s="17"/>
      <c r="E475" s="32"/>
      <c r="F475" s="17"/>
      <c r="G475" s="32"/>
    </row>
    <row r="476" spans="4:7" ht="15" customHeight="1" x14ac:dyDescent="0.2">
      <c r="D476" s="17"/>
      <c r="E476" s="32"/>
      <c r="F476" s="17"/>
      <c r="G476" s="32"/>
    </row>
    <row r="477" spans="4:7" ht="15" customHeight="1" x14ac:dyDescent="0.2">
      <c r="D477" s="17"/>
      <c r="E477" s="32"/>
      <c r="F477" s="17"/>
      <c r="G477" s="32"/>
    </row>
    <row r="478" spans="4:7" ht="15" customHeight="1" x14ac:dyDescent="0.2">
      <c r="D478" s="17"/>
      <c r="E478" s="32"/>
      <c r="F478" s="17"/>
      <c r="G478" s="32"/>
    </row>
    <row r="479" spans="4:7" ht="15" customHeight="1" x14ac:dyDescent="0.2">
      <c r="D479" s="17"/>
      <c r="E479" s="32"/>
      <c r="F479" s="17"/>
      <c r="G479" s="32"/>
    </row>
    <row r="480" spans="4:7" ht="15" customHeight="1" x14ac:dyDescent="0.2">
      <c r="D480" s="17"/>
      <c r="E480" s="32"/>
      <c r="F480" s="17"/>
      <c r="G480" s="32"/>
    </row>
    <row r="481" spans="4:7" ht="15" customHeight="1" x14ac:dyDescent="0.2">
      <c r="D481" s="17"/>
      <c r="E481" s="32"/>
      <c r="F481" s="17"/>
      <c r="G481" s="32"/>
    </row>
    <row r="482" spans="4:7" ht="15" customHeight="1" x14ac:dyDescent="0.2">
      <c r="D482" s="17"/>
      <c r="E482" s="32"/>
      <c r="F482" s="17"/>
      <c r="G482" s="32"/>
    </row>
    <row r="483" spans="4:7" ht="15" customHeight="1" x14ac:dyDescent="0.2">
      <c r="D483" s="17"/>
      <c r="E483" s="32"/>
      <c r="F483" s="17"/>
      <c r="G483" s="32"/>
    </row>
    <row r="484" spans="4:7" ht="15" customHeight="1" x14ac:dyDescent="0.2">
      <c r="D484" s="17"/>
      <c r="E484" s="32"/>
      <c r="F484" s="17"/>
      <c r="G484" s="32"/>
    </row>
    <row r="485" spans="4:7" ht="15" customHeight="1" x14ac:dyDescent="0.2">
      <c r="D485" s="17"/>
      <c r="E485" s="32"/>
      <c r="F485" s="17"/>
      <c r="G485" s="32"/>
    </row>
    <row r="486" spans="4:7" ht="15" customHeight="1" x14ac:dyDescent="0.2">
      <c r="D486" s="17"/>
      <c r="E486" s="32"/>
      <c r="F486" s="17"/>
      <c r="G486" s="32"/>
    </row>
    <row r="487" spans="4:7" ht="15" customHeight="1" x14ac:dyDescent="0.2">
      <c r="D487" s="17"/>
      <c r="E487" s="32"/>
      <c r="F487" s="17"/>
      <c r="G487" s="32"/>
    </row>
    <row r="488" spans="4:7" ht="15" customHeight="1" x14ac:dyDescent="0.2">
      <c r="D488" s="17"/>
      <c r="E488" s="32"/>
      <c r="F488" s="17"/>
      <c r="G488" s="32"/>
    </row>
    <row r="489" spans="4:7" ht="15" customHeight="1" x14ac:dyDescent="0.2">
      <c r="D489" s="17"/>
      <c r="E489" s="32"/>
      <c r="F489" s="17"/>
      <c r="G489" s="32"/>
    </row>
    <row r="490" spans="4:7" ht="15" customHeight="1" x14ac:dyDescent="0.2">
      <c r="D490" s="17"/>
      <c r="E490" s="32"/>
      <c r="F490" s="17"/>
      <c r="G490" s="32"/>
    </row>
    <row r="491" spans="4:7" ht="15" customHeight="1" x14ac:dyDescent="0.2">
      <c r="D491" s="17"/>
      <c r="E491" s="32"/>
      <c r="F491" s="17"/>
      <c r="G491" s="32"/>
    </row>
    <row r="492" spans="4:7" ht="15" customHeight="1" x14ac:dyDescent="0.2">
      <c r="D492" s="17"/>
      <c r="E492" s="32"/>
      <c r="F492" s="17"/>
      <c r="G492" s="32"/>
    </row>
    <row r="493" spans="4:7" ht="15" customHeight="1" x14ac:dyDescent="0.2">
      <c r="D493" s="17"/>
      <c r="E493" s="32"/>
      <c r="F493" s="17"/>
      <c r="G493" s="32"/>
    </row>
    <row r="494" spans="4:7" ht="15" customHeight="1" x14ac:dyDescent="0.2">
      <c r="D494" s="17"/>
      <c r="E494" s="32"/>
      <c r="F494" s="17"/>
      <c r="G494" s="32"/>
    </row>
    <row r="495" spans="4:7" ht="15" customHeight="1" x14ac:dyDescent="0.2">
      <c r="D495" s="17"/>
      <c r="E495" s="32"/>
      <c r="F495" s="17"/>
      <c r="G495" s="32"/>
    </row>
    <row r="496" spans="4:7" ht="15" customHeight="1" x14ac:dyDescent="0.2">
      <c r="D496" s="17"/>
      <c r="E496" s="32"/>
      <c r="F496" s="17"/>
      <c r="G496" s="32"/>
    </row>
    <row r="497" spans="4:7" ht="15" customHeight="1" x14ac:dyDescent="0.2">
      <c r="D497" s="17"/>
      <c r="E497" s="32"/>
      <c r="F497" s="17"/>
      <c r="G497" s="32"/>
    </row>
    <row r="498" spans="4:7" ht="15" customHeight="1" x14ac:dyDescent="0.2">
      <c r="D498" s="17"/>
      <c r="E498" s="32"/>
      <c r="F498" s="17"/>
      <c r="G498" s="32"/>
    </row>
    <row r="499" spans="4:7" ht="15" customHeight="1" x14ac:dyDescent="0.2">
      <c r="D499" s="17"/>
      <c r="E499" s="32"/>
      <c r="F499" s="17"/>
      <c r="G499" s="32"/>
    </row>
    <row r="500" spans="4:7" ht="15" customHeight="1" x14ac:dyDescent="0.2">
      <c r="D500" s="17"/>
      <c r="E500" s="32"/>
      <c r="F500" s="17"/>
      <c r="G500" s="32"/>
    </row>
    <row r="501" spans="4:7" ht="15" customHeight="1" x14ac:dyDescent="0.2">
      <c r="D501" s="17"/>
      <c r="E501" s="32"/>
      <c r="F501" s="17"/>
      <c r="G501" s="32"/>
    </row>
    <row r="502" spans="4:7" ht="15" customHeight="1" x14ac:dyDescent="0.2">
      <c r="D502" s="17"/>
      <c r="E502" s="32"/>
      <c r="F502" s="17"/>
      <c r="G502" s="32"/>
    </row>
    <row r="503" spans="4:7" ht="15" customHeight="1" x14ac:dyDescent="0.2">
      <c r="D503" s="17"/>
      <c r="E503" s="32"/>
      <c r="F503" s="17"/>
      <c r="G503" s="32"/>
    </row>
    <row r="504" spans="4:7" ht="15" customHeight="1" x14ac:dyDescent="0.2">
      <c r="D504" s="17"/>
      <c r="E504" s="32"/>
      <c r="F504" s="17"/>
      <c r="G504" s="32"/>
    </row>
    <row r="505" spans="4:7" ht="15" customHeight="1" x14ac:dyDescent="0.2">
      <c r="D505" s="17"/>
      <c r="E505" s="32"/>
      <c r="F505" s="17"/>
      <c r="G505" s="32"/>
    </row>
    <row r="506" spans="4:7" ht="15" customHeight="1" x14ac:dyDescent="0.2">
      <c r="D506" s="17"/>
      <c r="E506" s="32"/>
      <c r="F506" s="17"/>
      <c r="G506" s="32"/>
    </row>
    <row r="507" spans="4:7" ht="15" customHeight="1" x14ac:dyDescent="0.2">
      <c r="D507" s="17"/>
      <c r="E507" s="32"/>
      <c r="F507" s="17"/>
      <c r="G507" s="32"/>
    </row>
    <row r="508" spans="4:7" ht="15" customHeight="1" x14ac:dyDescent="0.2">
      <c r="D508" s="17"/>
      <c r="E508" s="32"/>
      <c r="F508" s="17"/>
      <c r="G508" s="32"/>
    </row>
    <row r="509" spans="4:7" ht="15" customHeight="1" x14ac:dyDescent="0.2">
      <c r="D509" s="17"/>
      <c r="E509" s="32"/>
      <c r="F509" s="17"/>
      <c r="G509" s="32"/>
    </row>
    <row r="510" spans="4:7" ht="15" customHeight="1" x14ac:dyDescent="0.2">
      <c r="D510" s="17"/>
      <c r="E510" s="32"/>
      <c r="F510" s="17"/>
      <c r="G510" s="32"/>
    </row>
    <row r="511" spans="4:7" ht="15" customHeight="1" x14ac:dyDescent="0.2">
      <c r="D511" s="17"/>
      <c r="E511" s="32"/>
      <c r="F511" s="17"/>
      <c r="G511" s="32"/>
    </row>
    <row r="512" spans="4:7" ht="15" customHeight="1" x14ac:dyDescent="0.2">
      <c r="D512" s="17"/>
      <c r="E512" s="32"/>
      <c r="F512" s="17"/>
      <c r="G512" s="32"/>
    </row>
    <row r="513" spans="4:10" ht="15" customHeight="1" x14ac:dyDescent="0.2">
      <c r="D513" s="17"/>
      <c r="E513" s="32"/>
      <c r="F513" s="17"/>
      <c r="G513" s="32"/>
    </row>
    <row r="514" spans="4:10" ht="15" customHeight="1" x14ac:dyDescent="0.2">
      <c r="D514" s="17"/>
      <c r="E514" s="32"/>
      <c r="F514" s="17"/>
      <c r="G514" s="32"/>
    </row>
    <row r="515" spans="4:10" ht="15" customHeight="1" x14ac:dyDescent="0.2">
      <c r="G515" s="4" t="s">
        <v>229</v>
      </c>
      <c r="H515" s="3">
        <v>11484.52</v>
      </c>
      <c r="I515" s="4">
        <v>166445263.21000001</v>
      </c>
      <c r="J515" s="1" t="s">
        <v>22</v>
      </c>
    </row>
    <row r="516" spans="4:10" ht="15" customHeight="1" x14ac:dyDescent="0.2">
      <c r="G516" s="4" t="s">
        <v>229</v>
      </c>
      <c r="H516" s="3">
        <v>21504.799999999999</v>
      </c>
      <c r="I516" s="4">
        <v>322808522.80000001</v>
      </c>
      <c r="J516" s="1" t="s">
        <v>23</v>
      </c>
    </row>
    <row r="517" spans="4:10" ht="15" customHeight="1" x14ac:dyDescent="0.2">
      <c r="H517" s="3">
        <v>21648.2</v>
      </c>
      <c r="I517" s="4">
        <v>338361366</v>
      </c>
      <c r="J517" s="1" t="s">
        <v>132</v>
      </c>
    </row>
    <row r="518" spans="4:10" ht="15" customHeight="1" x14ac:dyDescent="0.2">
      <c r="H518" s="3">
        <v>12930</v>
      </c>
      <c r="I518" s="4">
        <v>185843019.29999995</v>
      </c>
      <c r="J518" s="1" t="s">
        <v>133</v>
      </c>
    </row>
    <row r="519" spans="4:10" ht="15" customHeight="1" x14ac:dyDescent="0.2">
      <c r="H519" s="3">
        <v>30</v>
      </c>
      <c r="I519" s="4">
        <v>431190.3</v>
      </c>
      <c r="J519" s="1" t="s">
        <v>133</v>
      </c>
    </row>
    <row r="520" spans="4:10" ht="15" customHeight="1" x14ac:dyDescent="0.2">
      <c r="H520" s="3">
        <v>27434</v>
      </c>
      <c r="I520" s="4">
        <v>406078068</v>
      </c>
      <c r="J520" s="1" t="s">
        <v>133</v>
      </c>
    </row>
    <row r="521" spans="4:10" ht="15" customHeight="1" x14ac:dyDescent="0.2">
      <c r="H521" s="3">
        <v>30</v>
      </c>
      <c r="I521" s="4">
        <v>444060</v>
      </c>
      <c r="J521" s="1" t="s">
        <v>133</v>
      </c>
    </row>
    <row r="522" spans="4:10" ht="15" customHeight="1" x14ac:dyDescent="0.2">
      <c r="H522" s="3">
        <v>79610.399999999994</v>
      </c>
      <c r="I522" s="4">
        <v>1245265876.8</v>
      </c>
      <c r="J522" s="1" t="s">
        <v>134</v>
      </c>
    </row>
    <row r="523" spans="4:10" ht="15" customHeight="1" x14ac:dyDescent="0.2">
      <c r="H523" s="3">
        <v>30</v>
      </c>
      <c r="I523" s="4">
        <v>469260</v>
      </c>
      <c r="J523" s="1" t="s">
        <v>134</v>
      </c>
    </row>
    <row r="524" spans="4:10" ht="15" customHeight="1" x14ac:dyDescent="0.2">
      <c r="H524" s="3">
        <v>82489</v>
      </c>
      <c r="I524" s="4">
        <v>1227024699.8900001</v>
      </c>
      <c r="J524" s="1" t="s">
        <v>135</v>
      </c>
    </row>
    <row r="525" spans="4:10" ht="15" customHeight="1" x14ac:dyDescent="0.2">
      <c r="H525" s="3">
        <v>55</v>
      </c>
      <c r="I525" s="4">
        <v>818125.55</v>
      </c>
      <c r="J525" s="1" t="s">
        <v>135</v>
      </c>
    </row>
    <row r="526" spans="4:10" ht="15" customHeight="1" x14ac:dyDescent="0.2">
      <c r="H526" s="3">
        <v>10000</v>
      </c>
      <c r="I526" s="4">
        <v>143540000</v>
      </c>
      <c r="J526" s="1" t="s">
        <v>136</v>
      </c>
    </row>
    <row r="527" spans="4:10" ht="15" customHeight="1" x14ac:dyDescent="0.2">
      <c r="H527" s="3">
        <v>14678</v>
      </c>
      <c r="I527" s="4">
        <v>228918088</v>
      </c>
      <c r="J527" s="1" t="s">
        <v>24</v>
      </c>
    </row>
    <row r="528" spans="4:10" ht="15" customHeight="1" x14ac:dyDescent="0.2">
      <c r="H528" s="3">
        <v>42</v>
      </c>
      <c r="I528" s="4">
        <v>655032</v>
      </c>
      <c r="J528" s="1" t="s">
        <v>24</v>
      </c>
    </row>
    <row r="529" spans="8:10" ht="15" customHeight="1" x14ac:dyDescent="0.2">
      <c r="H529" s="3">
        <v>14678</v>
      </c>
      <c r="I529" s="4">
        <v>228918088</v>
      </c>
      <c r="J529" s="1" t="s">
        <v>24</v>
      </c>
    </row>
    <row r="530" spans="8:10" ht="15" customHeight="1" x14ac:dyDescent="0.2">
      <c r="H530" s="3">
        <v>42</v>
      </c>
      <c r="I530" s="4">
        <v>655032</v>
      </c>
      <c r="J530" s="1" t="s">
        <v>24</v>
      </c>
    </row>
    <row r="531" spans="8:10" ht="15" customHeight="1" x14ac:dyDescent="0.2">
      <c r="H531" s="3">
        <v>15078</v>
      </c>
      <c r="I531" s="4">
        <v>235156488</v>
      </c>
      <c r="J531" s="1" t="s">
        <v>24</v>
      </c>
    </row>
    <row r="532" spans="8:10" ht="15" customHeight="1" x14ac:dyDescent="0.2">
      <c r="H532" s="3">
        <v>42</v>
      </c>
      <c r="I532" s="4">
        <v>655032</v>
      </c>
      <c r="J532" s="1" t="s">
        <v>24</v>
      </c>
    </row>
    <row r="533" spans="8:10" ht="15" customHeight="1" x14ac:dyDescent="0.2">
      <c r="H533" s="3">
        <v>75018</v>
      </c>
      <c r="I533" s="4">
        <v>1162253874</v>
      </c>
      <c r="J533" s="1" t="s">
        <v>24</v>
      </c>
    </row>
    <row r="534" spans="8:10" ht="15" customHeight="1" x14ac:dyDescent="0.2">
      <c r="H534" s="3">
        <v>42</v>
      </c>
      <c r="I534" s="4">
        <v>650706</v>
      </c>
      <c r="J534" s="1" t="s">
        <v>24</v>
      </c>
    </row>
    <row r="535" spans="8:10" ht="15" customHeight="1" x14ac:dyDescent="0.2">
      <c r="H535" s="3">
        <v>14761.5</v>
      </c>
      <c r="I535" s="4">
        <v>227459953.5</v>
      </c>
      <c r="J535" s="1" t="s">
        <v>24</v>
      </c>
    </row>
    <row r="536" spans="8:10" ht="15" customHeight="1" x14ac:dyDescent="0.2">
      <c r="H536" s="3">
        <v>14761.5</v>
      </c>
      <c r="I536" s="4">
        <v>227459953.5</v>
      </c>
      <c r="J536" s="1" t="s">
        <v>24</v>
      </c>
    </row>
    <row r="537" spans="8:10" ht="15" customHeight="1" x14ac:dyDescent="0.2">
      <c r="H537" s="3">
        <v>42</v>
      </c>
      <c r="I537" s="4">
        <v>647178</v>
      </c>
      <c r="J537" s="1" t="s">
        <v>24</v>
      </c>
    </row>
  </sheetData>
  <sortState xmlns:xlrd2="http://schemas.microsoft.com/office/spreadsheetml/2017/richdata2" ref="A251:G263">
    <sortCondition ref="A251"/>
  </sortState>
  <mergeCells count="3">
    <mergeCell ref="D5:E5"/>
    <mergeCell ref="F5:G5"/>
    <mergeCell ref="H5:I5"/>
  </mergeCells>
  <printOptions horizontalCentered="1"/>
  <pageMargins left="0.5" right="0.5" top="0.5" bottom="0.5" header="0.5" footer="0.5"/>
  <pageSetup paperSize="9" scale="8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5"/>
  <sheetViews>
    <sheetView topLeftCell="A395" zoomScaleNormal="100" workbookViewId="0">
      <selection activeCell="C409" sqref="C409"/>
    </sheetView>
  </sheetViews>
  <sheetFormatPr defaultRowHeight="15" customHeight="1" x14ac:dyDescent="0.2"/>
  <cols>
    <col min="1" max="1" width="12.7109375" style="2" customWidth="1"/>
    <col min="2" max="2" width="12.7109375" style="1" customWidth="1"/>
    <col min="3" max="3" width="40.7109375" style="1" customWidth="1"/>
    <col min="4" max="4" width="15.7109375" style="3" customWidth="1"/>
    <col min="5" max="5" width="20.7109375" style="32" customWidth="1"/>
    <col min="6" max="6" width="15.7109375" style="102" customWidth="1"/>
    <col min="7" max="7" width="20.7109375" style="151" customWidth="1"/>
    <col min="8" max="8" width="15.140625" style="3" customWidth="1"/>
    <col min="9" max="9" width="20.7109375" style="4" customWidth="1"/>
    <col min="10" max="10" width="14.140625" style="4" bestFit="1" customWidth="1"/>
    <col min="11" max="11" width="17.7109375" style="4" bestFit="1" customWidth="1"/>
    <col min="12" max="12" width="17.7109375" style="1" bestFit="1" customWidth="1"/>
    <col min="13" max="16384" width="9.140625" style="1"/>
  </cols>
  <sheetData>
    <row r="1" spans="1:9" ht="15" customHeight="1" x14ac:dyDescent="0.2">
      <c r="A1" s="5" t="s">
        <v>0</v>
      </c>
    </row>
    <row r="2" spans="1:9" ht="15" customHeight="1" x14ac:dyDescent="0.2">
      <c r="A2" s="5" t="s">
        <v>11</v>
      </c>
    </row>
    <row r="3" spans="1:9" ht="15" customHeight="1" x14ac:dyDescent="0.2">
      <c r="A3" s="5" t="s">
        <v>12</v>
      </c>
    </row>
    <row r="4" spans="1:9" ht="15" customHeight="1" x14ac:dyDescent="0.2">
      <c r="A4" s="5" t="s">
        <v>159</v>
      </c>
    </row>
    <row r="5" spans="1:9" ht="15" customHeight="1" x14ac:dyDescent="0.2">
      <c r="H5" s="17"/>
      <c r="I5" s="32"/>
    </row>
    <row r="6" spans="1:9" ht="15" customHeight="1" x14ac:dyDescent="0.2">
      <c r="A6" s="9" t="s">
        <v>3</v>
      </c>
      <c r="B6" s="8" t="s">
        <v>4</v>
      </c>
      <c r="C6" s="8" t="s">
        <v>5</v>
      </c>
      <c r="D6" s="229" t="s">
        <v>6</v>
      </c>
      <c r="E6" s="229"/>
      <c r="F6" s="229" t="s">
        <v>7</v>
      </c>
      <c r="G6" s="229"/>
      <c r="H6" s="229" t="s">
        <v>8</v>
      </c>
      <c r="I6" s="229"/>
    </row>
    <row r="7" spans="1:9" ht="15" customHeight="1" x14ac:dyDescent="0.2">
      <c r="A7" s="10"/>
      <c r="B7" s="11"/>
      <c r="C7" s="11" t="s">
        <v>9</v>
      </c>
      <c r="D7" s="12"/>
      <c r="E7" s="183"/>
      <c r="F7" s="103"/>
      <c r="G7" s="179"/>
      <c r="H7" s="12">
        <v>-11484.519999999917</v>
      </c>
      <c r="I7" s="13">
        <v>-166445263.21000013</v>
      </c>
    </row>
    <row r="8" spans="1:9" ht="15" customHeight="1" x14ac:dyDescent="0.2">
      <c r="A8" s="2">
        <v>44928</v>
      </c>
      <c r="C8" s="1" t="s">
        <v>456</v>
      </c>
      <c r="D8" s="3">
        <v>11484.52</v>
      </c>
      <c r="E8" s="4">
        <v>166445263.21000001</v>
      </c>
      <c r="F8" s="101"/>
      <c r="H8" s="3">
        <f>+H7+D8-F8</f>
        <v>8.3673512563109398E-11</v>
      </c>
      <c r="I8" s="4">
        <f>+I7+E8-G8</f>
        <v>-1.1920928955078125E-7</v>
      </c>
    </row>
    <row r="9" spans="1:9" ht="15" customHeight="1" x14ac:dyDescent="0.2">
      <c r="E9" s="4"/>
      <c r="F9" s="101"/>
      <c r="H9" s="6"/>
      <c r="I9" s="7"/>
    </row>
    <row r="13" spans="1:9" ht="15" customHeight="1" x14ac:dyDescent="0.2">
      <c r="A13" s="5" t="s">
        <v>0</v>
      </c>
    </row>
    <row r="14" spans="1:9" ht="15" customHeight="1" x14ac:dyDescent="0.2">
      <c r="A14" s="5" t="s">
        <v>11</v>
      </c>
    </row>
    <row r="15" spans="1:9" ht="15" customHeight="1" x14ac:dyDescent="0.2">
      <c r="A15" s="5" t="s">
        <v>14</v>
      </c>
    </row>
    <row r="16" spans="1:9" ht="15" customHeight="1" x14ac:dyDescent="0.2">
      <c r="A16" s="5" t="s">
        <v>159</v>
      </c>
    </row>
    <row r="18" spans="1:9" ht="15" customHeight="1" x14ac:dyDescent="0.2">
      <c r="A18" s="9" t="s">
        <v>3</v>
      </c>
      <c r="B18" s="8" t="s">
        <v>4</v>
      </c>
      <c r="C18" s="8" t="s">
        <v>5</v>
      </c>
      <c r="D18" s="229" t="s">
        <v>6</v>
      </c>
      <c r="E18" s="229"/>
      <c r="F18" s="229" t="s">
        <v>7</v>
      </c>
      <c r="G18" s="229"/>
      <c r="H18" s="229" t="s">
        <v>8</v>
      </c>
      <c r="I18" s="229"/>
    </row>
    <row r="19" spans="1:9" ht="15" customHeight="1" x14ac:dyDescent="0.2">
      <c r="A19" s="10"/>
      <c r="B19" s="11"/>
      <c r="C19" s="11" t="s">
        <v>9</v>
      </c>
      <c r="D19" s="12"/>
      <c r="E19" s="183"/>
      <c r="F19" s="103"/>
      <c r="G19" s="179"/>
      <c r="H19" s="12"/>
      <c r="I19" s="13"/>
    </row>
    <row r="20" spans="1:9" ht="15" customHeight="1" x14ac:dyDescent="0.2">
      <c r="A20" s="62">
        <v>44826</v>
      </c>
      <c r="B20" s="63"/>
      <c r="C20" s="63" t="s">
        <v>118</v>
      </c>
      <c r="D20" s="64"/>
      <c r="E20" s="55"/>
      <c r="F20" s="104">
        <f>118489.8-10000-20000-47000-10000-10000</f>
        <v>21489.800000000003</v>
      </c>
      <c r="G20" s="137">
        <f>1778650387.8-150110000-300220000-705517000-150110000-150110000</f>
        <v>322583387.79999995</v>
      </c>
      <c r="H20" s="51"/>
      <c r="I20" s="50"/>
    </row>
    <row r="21" spans="1:9" ht="15" customHeight="1" x14ac:dyDescent="0.2">
      <c r="A21" s="48">
        <v>44826</v>
      </c>
      <c r="B21" s="49"/>
      <c r="C21" s="49" t="s">
        <v>139</v>
      </c>
      <c r="D21" s="54"/>
      <c r="E21" s="55"/>
      <c r="F21" s="105">
        <v>10000</v>
      </c>
      <c r="G21" s="137">
        <v>150110000</v>
      </c>
      <c r="H21" s="51"/>
      <c r="I21" s="50"/>
    </row>
    <row r="22" spans="1:9" ht="15" customHeight="1" x14ac:dyDescent="0.2">
      <c r="A22" s="48">
        <v>44826</v>
      </c>
      <c r="B22" s="49"/>
      <c r="C22" s="49" t="s">
        <v>17</v>
      </c>
      <c r="D22" s="54"/>
      <c r="E22" s="55"/>
      <c r="F22" s="106">
        <v>15</v>
      </c>
      <c r="G22" s="137">
        <v>225165</v>
      </c>
      <c r="H22" s="51"/>
      <c r="I22" s="50"/>
    </row>
    <row r="23" spans="1:9" ht="15" customHeight="1" x14ac:dyDescent="0.2">
      <c r="A23" s="48">
        <v>44876</v>
      </c>
      <c r="B23" s="49"/>
      <c r="C23" s="49" t="s">
        <v>145</v>
      </c>
      <c r="D23" s="51"/>
      <c r="E23" s="55"/>
      <c r="F23" s="105">
        <f>52558.8-13000-10000</f>
        <v>29558.800000000003</v>
      </c>
      <c r="G23" s="137">
        <f>825225718.8-204113000-157010000</f>
        <v>464102718.79999995</v>
      </c>
      <c r="H23" s="51"/>
      <c r="I23" s="50"/>
    </row>
    <row r="24" spans="1:9" ht="15" customHeight="1" x14ac:dyDescent="0.2">
      <c r="A24" s="48">
        <v>44876</v>
      </c>
      <c r="B24" s="49"/>
      <c r="C24" s="49" t="s">
        <v>139</v>
      </c>
      <c r="D24" s="51"/>
      <c r="E24" s="55"/>
      <c r="F24" s="105">
        <v>10000</v>
      </c>
      <c r="G24" s="137">
        <v>157010000</v>
      </c>
      <c r="H24" s="51"/>
      <c r="I24" s="50"/>
    </row>
    <row r="25" spans="1:9" ht="15" customHeight="1" x14ac:dyDescent="0.2">
      <c r="A25" s="48">
        <v>44876</v>
      </c>
      <c r="B25" s="49"/>
      <c r="C25" s="49" t="s">
        <v>17</v>
      </c>
      <c r="D25" s="51"/>
      <c r="E25" s="55"/>
      <c r="F25" s="105">
        <v>30</v>
      </c>
      <c r="G25" s="137">
        <v>471030</v>
      </c>
      <c r="H25" s="51"/>
      <c r="I25" s="50"/>
    </row>
    <row r="26" spans="1:9" ht="15" customHeight="1" x14ac:dyDescent="0.2">
      <c r="A26" s="48">
        <v>44908</v>
      </c>
      <c r="B26" s="49"/>
      <c r="C26" s="49" t="s">
        <v>185</v>
      </c>
      <c r="D26" s="51"/>
      <c r="E26" s="50"/>
      <c r="F26" s="107">
        <f>119970.6-30000-36000</f>
        <v>53970.600000000006</v>
      </c>
      <c r="G26" s="137">
        <f>1876580125.2-469260000-563112000</f>
        <v>844208125.20000005</v>
      </c>
      <c r="H26" s="51"/>
      <c r="I26" s="50"/>
    </row>
    <row r="27" spans="1:9" ht="15" customHeight="1" x14ac:dyDescent="0.2">
      <c r="A27" s="48">
        <v>44908</v>
      </c>
      <c r="B27" s="49"/>
      <c r="C27" s="49" t="s">
        <v>17</v>
      </c>
      <c r="D27" s="51"/>
      <c r="E27" s="55"/>
      <c r="F27" s="107">
        <v>30</v>
      </c>
      <c r="G27" s="137">
        <v>469260</v>
      </c>
      <c r="H27" s="51"/>
      <c r="I27" s="50"/>
    </row>
    <row r="28" spans="1:9" ht="15" customHeight="1" x14ac:dyDescent="0.2">
      <c r="C28" s="73" t="s">
        <v>174</v>
      </c>
      <c r="D28" s="74"/>
      <c r="E28" s="184"/>
      <c r="F28" s="108">
        <v>30000</v>
      </c>
      <c r="G28" s="138">
        <v>469260000</v>
      </c>
      <c r="H28" s="51"/>
      <c r="I28" s="50"/>
    </row>
    <row r="29" spans="1:9" ht="15" customHeight="1" x14ac:dyDescent="0.2">
      <c r="C29" s="73" t="s">
        <v>183</v>
      </c>
      <c r="D29" s="74"/>
      <c r="E29" s="184"/>
      <c r="F29" s="108">
        <v>36000</v>
      </c>
      <c r="G29" s="138">
        <v>563112000</v>
      </c>
      <c r="H29" s="51"/>
      <c r="I29" s="50"/>
    </row>
    <row r="30" spans="1:9" ht="15" customHeight="1" x14ac:dyDescent="0.2">
      <c r="C30" s="73"/>
      <c r="D30" s="74"/>
      <c r="E30" s="184"/>
      <c r="F30" s="109"/>
      <c r="G30" s="138"/>
      <c r="H30" s="51"/>
      <c r="I30" s="50"/>
    </row>
    <row r="31" spans="1:9" ht="15" customHeight="1" x14ac:dyDescent="0.2">
      <c r="C31" s="73"/>
      <c r="D31" s="74"/>
      <c r="E31" s="184"/>
      <c r="F31" s="109"/>
      <c r="G31" s="138"/>
      <c r="H31" s="51"/>
      <c r="I31" s="50"/>
    </row>
    <row r="32" spans="1:9" ht="15" customHeight="1" x14ac:dyDescent="0.2">
      <c r="C32" s="73"/>
      <c r="D32" s="74"/>
      <c r="E32" s="184"/>
      <c r="F32" s="109"/>
      <c r="G32" s="138"/>
      <c r="H32" s="51"/>
      <c r="I32" s="50"/>
    </row>
    <row r="33" spans="1:9" ht="15" customHeight="1" x14ac:dyDescent="0.2">
      <c r="C33" s="73" t="s">
        <v>9</v>
      </c>
      <c r="D33" s="74"/>
      <c r="E33" s="184"/>
      <c r="F33" s="109"/>
      <c r="G33" s="138"/>
      <c r="H33" s="51">
        <v>-191094.19999999972</v>
      </c>
      <c r="I33" s="50">
        <v>-2971551686.8022027</v>
      </c>
    </row>
    <row r="34" spans="1:9" ht="15" customHeight="1" x14ac:dyDescent="0.2">
      <c r="A34" s="2">
        <v>44936</v>
      </c>
      <c r="B34" s="2"/>
      <c r="C34" s="73" t="s">
        <v>139</v>
      </c>
      <c r="D34" s="74"/>
      <c r="E34" s="184"/>
      <c r="F34" s="110">
        <v>111279.3</v>
      </c>
      <c r="G34" s="138">
        <v>1733063818.2</v>
      </c>
      <c r="H34" s="51">
        <f t="shared" ref="H34:H65" si="0">+H33+D34-F34</f>
        <v>-302373.49999999971</v>
      </c>
      <c r="I34" s="50">
        <f t="shared" ref="I34:I65" si="1">+I33+E34-G34</f>
        <v>-4704615505.002203</v>
      </c>
    </row>
    <row r="35" spans="1:9" ht="15" customHeight="1" x14ac:dyDescent="0.2">
      <c r="A35" s="2">
        <v>44936</v>
      </c>
      <c r="B35" s="2"/>
      <c r="C35" s="73" t="s">
        <v>17</v>
      </c>
      <c r="D35" s="74"/>
      <c r="E35" s="184"/>
      <c r="F35" s="110">
        <v>30</v>
      </c>
      <c r="G35" s="138">
        <v>467220</v>
      </c>
      <c r="H35" s="51">
        <f t="shared" si="0"/>
        <v>-302403.49999999971</v>
      </c>
      <c r="I35" s="50">
        <f t="shared" si="1"/>
        <v>-4705082725.002203</v>
      </c>
    </row>
    <row r="36" spans="1:9" ht="15" customHeight="1" x14ac:dyDescent="0.2">
      <c r="A36" s="2">
        <v>44939</v>
      </c>
      <c r="B36" s="2"/>
      <c r="C36" s="73" t="s">
        <v>219</v>
      </c>
      <c r="D36" s="74"/>
      <c r="E36" s="184"/>
      <c r="F36" s="111">
        <f>75138-8000-22000-30000</f>
        <v>15138</v>
      </c>
      <c r="G36" s="138">
        <f>1154570508-122928000-338052000-460980000</f>
        <v>232610508</v>
      </c>
      <c r="H36" s="51">
        <f t="shared" si="0"/>
        <v>-317541.49999999971</v>
      </c>
      <c r="I36" s="50">
        <f t="shared" si="1"/>
        <v>-4937693233.002203</v>
      </c>
    </row>
    <row r="37" spans="1:9" ht="15" customHeight="1" x14ac:dyDescent="0.2">
      <c r="A37" s="2">
        <v>44939</v>
      </c>
      <c r="B37" s="2"/>
      <c r="C37" s="73" t="s">
        <v>17</v>
      </c>
      <c r="D37" s="74"/>
      <c r="E37" s="184"/>
      <c r="F37" s="111">
        <v>30</v>
      </c>
      <c r="G37" s="151">
        <v>460980</v>
      </c>
      <c r="H37" s="51">
        <f t="shared" si="0"/>
        <v>-317571.49999999971</v>
      </c>
      <c r="I37" s="50">
        <f t="shared" si="1"/>
        <v>-4938154213.002203</v>
      </c>
    </row>
    <row r="38" spans="1:9" ht="15" customHeight="1" x14ac:dyDescent="0.2">
      <c r="A38" s="2">
        <v>44939</v>
      </c>
      <c r="B38" s="2"/>
      <c r="C38" s="73" t="s">
        <v>183</v>
      </c>
      <c r="D38" s="74"/>
      <c r="E38" s="184"/>
      <c r="F38" s="112">
        <v>8000</v>
      </c>
      <c r="G38" s="151">
        <v>122928000</v>
      </c>
      <c r="H38" s="51">
        <f t="shared" si="0"/>
        <v>-325571.49999999971</v>
      </c>
      <c r="I38" s="50">
        <f t="shared" si="1"/>
        <v>-5061082213.002203</v>
      </c>
    </row>
    <row r="39" spans="1:9" ht="15" customHeight="1" x14ac:dyDescent="0.2">
      <c r="A39" s="2">
        <v>44939</v>
      </c>
      <c r="B39" s="2"/>
      <c r="C39" s="73" t="s">
        <v>185</v>
      </c>
      <c r="D39" s="74"/>
      <c r="E39" s="184"/>
      <c r="F39" s="112">
        <v>22000</v>
      </c>
      <c r="G39" s="151">
        <v>338052000</v>
      </c>
      <c r="H39" s="51">
        <f t="shared" si="0"/>
        <v>-347571.49999999971</v>
      </c>
      <c r="I39" s="50">
        <f t="shared" si="1"/>
        <v>-5399134213.002203</v>
      </c>
    </row>
    <row r="40" spans="1:9" ht="15" customHeight="1" x14ac:dyDescent="0.2">
      <c r="A40" s="2">
        <v>44939</v>
      </c>
      <c r="B40" s="2"/>
      <c r="C40" s="73" t="s">
        <v>216</v>
      </c>
      <c r="D40" s="74"/>
      <c r="E40" s="184"/>
      <c r="F40" s="143">
        <v>30000</v>
      </c>
      <c r="G40" s="151">
        <v>460980000</v>
      </c>
      <c r="H40" s="51">
        <f t="shared" si="0"/>
        <v>-377571.49999999971</v>
      </c>
      <c r="I40" s="50">
        <f t="shared" si="1"/>
        <v>-5860114213.002203</v>
      </c>
    </row>
    <row r="41" spans="1:9" ht="15" customHeight="1" x14ac:dyDescent="0.2">
      <c r="A41" s="2">
        <v>44939</v>
      </c>
      <c r="B41" s="2"/>
      <c r="C41" s="73" t="s">
        <v>162</v>
      </c>
      <c r="D41" s="90">
        <v>131309.29999999999</v>
      </c>
      <c r="E41" s="184">
        <v>2049081626.5</v>
      </c>
      <c r="F41" s="109"/>
      <c r="G41" s="138"/>
      <c r="H41" s="51">
        <f t="shared" si="0"/>
        <v>-246262.19999999972</v>
      </c>
      <c r="I41" s="50">
        <f t="shared" si="1"/>
        <v>-3811032586.502203</v>
      </c>
    </row>
    <row r="42" spans="1:9" ht="15" customHeight="1" x14ac:dyDescent="0.2">
      <c r="A42" s="2">
        <v>44944</v>
      </c>
      <c r="B42" s="2"/>
      <c r="C42" s="73" t="s">
        <v>163</v>
      </c>
      <c r="D42" s="90">
        <v>135295.10999999999</v>
      </c>
      <c r="E42" s="184">
        <v>2089903564.1700001</v>
      </c>
      <c r="F42" s="109"/>
      <c r="G42" s="138"/>
      <c r="H42" s="51">
        <f t="shared" si="0"/>
        <v>-110967.08999999973</v>
      </c>
      <c r="I42" s="50">
        <f t="shared" si="1"/>
        <v>-1721129022.3322029</v>
      </c>
    </row>
    <row r="43" spans="1:9" ht="15" customHeight="1" x14ac:dyDescent="0.2">
      <c r="A43" s="2">
        <v>44945</v>
      </c>
      <c r="B43" s="2"/>
      <c r="C43" s="73" t="s">
        <v>145</v>
      </c>
      <c r="D43" s="74"/>
      <c r="E43" s="184"/>
      <c r="F43" s="110">
        <v>105676.31</v>
      </c>
      <c r="G43" s="138">
        <v>1599622304.47</v>
      </c>
      <c r="H43" s="51">
        <f t="shared" si="0"/>
        <v>-216643.39999999973</v>
      </c>
      <c r="I43" s="50">
        <f t="shared" si="1"/>
        <v>-3320751326.8022032</v>
      </c>
    </row>
    <row r="44" spans="1:9" ht="15" customHeight="1" x14ac:dyDescent="0.2">
      <c r="A44" s="2">
        <v>44945</v>
      </c>
      <c r="B44" s="2"/>
      <c r="C44" s="73" t="s">
        <v>17</v>
      </c>
      <c r="D44" s="74"/>
      <c r="E44" s="184"/>
      <c r="F44" s="110">
        <v>30</v>
      </c>
      <c r="G44" s="138">
        <v>454110</v>
      </c>
      <c r="H44" s="51">
        <f t="shared" si="0"/>
        <v>-216673.39999999973</v>
      </c>
      <c r="I44" s="50">
        <f t="shared" si="1"/>
        <v>-3321205436.8022032</v>
      </c>
    </row>
    <row r="45" spans="1:9" ht="15" customHeight="1" x14ac:dyDescent="0.2">
      <c r="A45" s="2">
        <v>44957</v>
      </c>
      <c r="B45" s="2"/>
      <c r="C45" s="73" t="s">
        <v>18</v>
      </c>
      <c r="D45" s="74"/>
      <c r="E45" s="184"/>
      <c r="F45" s="113"/>
      <c r="G45" s="137">
        <v>33683989.200000003</v>
      </c>
      <c r="H45" s="52">
        <f t="shared" si="0"/>
        <v>-216673.39999999973</v>
      </c>
      <c r="I45" s="53">
        <f t="shared" si="1"/>
        <v>-3354889426.002203</v>
      </c>
    </row>
    <row r="46" spans="1:9" ht="15" customHeight="1" x14ac:dyDescent="0.2">
      <c r="A46" s="2">
        <v>44959</v>
      </c>
      <c r="B46" s="2"/>
      <c r="C46" s="1" t="s">
        <v>167</v>
      </c>
      <c r="D46" s="92">
        <v>197662.88</v>
      </c>
      <c r="E46" s="72">
        <v>2956641359.04</v>
      </c>
      <c r="F46" s="114"/>
      <c r="G46" s="139"/>
      <c r="H46" s="51">
        <f t="shared" si="0"/>
        <v>-19010.519999999728</v>
      </c>
      <c r="I46" s="50">
        <f t="shared" si="1"/>
        <v>-398248066.96220303</v>
      </c>
    </row>
    <row r="47" spans="1:9" ht="15" customHeight="1" x14ac:dyDescent="0.2">
      <c r="A47" s="2">
        <v>44974</v>
      </c>
      <c r="B47" s="2"/>
      <c r="C47" s="1" t="s">
        <v>168</v>
      </c>
      <c r="D47" s="92">
        <v>271073.77</v>
      </c>
      <c r="E47" s="72">
        <v>4097551107.3200002</v>
      </c>
      <c r="F47" s="114"/>
      <c r="G47" s="139"/>
      <c r="H47" s="51">
        <f t="shared" si="0"/>
        <v>252063.25000000029</v>
      </c>
      <c r="I47" s="50">
        <f t="shared" si="1"/>
        <v>3699303040.3577971</v>
      </c>
    </row>
    <row r="48" spans="1:9" ht="15" customHeight="1" x14ac:dyDescent="0.2">
      <c r="A48" s="2">
        <v>44980</v>
      </c>
      <c r="B48" s="2"/>
      <c r="C48" s="1" t="s">
        <v>169</v>
      </c>
      <c r="D48" s="92">
        <v>337788.75</v>
      </c>
      <c r="E48" s="72">
        <v>5131348901.25</v>
      </c>
      <c r="F48" s="114"/>
      <c r="G48" s="139"/>
      <c r="H48" s="51">
        <f t="shared" si="0"/>
        <v>589852.00000000023</v>
      </c>
      <c r="I48" s="50">
        <f t="shared" si="1"/>
        <v>8830651941.6077976</v>
      </c>
    </row>
    <row r="49" spans="1:9" ht="15" customHeight="1" x14ac:dyDescent="0.2">
      <c r="A49" s="2">
        <v>44958</v>
      </c>
      <c r="B49" s="2"/>
      <c r="C49" s="1" t="s">
        <v>174</v>
      </c>
      <c r="D49" s="24"/>
      <c r="E49" s="72"/>
      <c r="F49" s="115">
        <v>167632.88</v>
      </c>
      <c r="G49" s="139">
        <v>2513152136.96</v>
      </c>
      <c r="H49" s="51">
        <f t="shared" si="0"/>
        <v>422219.12000000023</v>
      </c>
      <c r="I49" s="50">
        <f t="shared" si="1"/>
        <v>6317499804.6477976</v>
      </c>
    </row>
    <row r="50" spans="1:9" ht="15" customHeight="1" x14ac:dyDescent="0.2">
      <c r="A50" s="2">
        <v>44958</v>
      </c>
      <c r="B50" s="2"/>
      <c r="C50" s="1" t="s">
        <v>17</v>
      </c>
      <c r="D50" s="24"/>
      <c r="E50" s="72"/>
      <c r="F50" s="115">
        <v>30</v>
      </c>
      <c r="G50" s="139">
        <v>449760</v>
      </c>
      <c r="H50" s="51">
        <f t="shared" si="0"/>
        <v>422189.12000000023</v>
      </c>
      <c r="I50" s="50">
        <f t="shared" si="1"/>
        <v>6317050044.6477976</v>
      </c>
    </row>
    <row r="51" spans="1:9" ht="15" customHeight="1" x14ac:dyDescent="0.2">
      <c r="A51" s="2">
        <v>44973</v>
      </c>
      <c r="B51" s="2"/>
      <c r="C51" s="73" t="s">
        <v>183</v>
      </c>
      <c r="D51" s="24"/>
      <c r="E51" s="72"/>
      <c r="F51" s="115">
        <v>227043.77</v>
      </c>
      <c r="G51" s="139">
        <v>3449703041.3800001</v>
      </c>
      <c r="H51" s="51">
        <f t="shared" si="0"/>
        <v>195145.35000000024</v>
      </c>
      <c r="I51" s="50">
        <f t="shared" si="1"/>
        <v>2867347003.2677975</v>
      </c>
    </row>
    <row r="52" spans="1:9" ht="15" customHeight="1" x14ac:dyDescent="0.2">
      <c r="A52" s="2">
        <v>44973</v>
      </c>
      <c r="B52" s="2"/>
      <c r="C52" s="1" t="s">
        <v>17</v>
      </c>
      <c r="D52" s="24"/>
      <c r="E52" s="72"/>
      <c r="F52" s="115">
        <v>30</v>
      </c>
      <c r="G52" s="139">
        <v>455820</v>
      </c>
      <c r="H52" s="51">
        <f t="shared" si="0"/>
        <v>195115.35000000024</v>
      </c>
      <c r="I52" s="50">
        <f t="shared" si="1"/>
        <v>2866891183.2677975</v>
      </c>
    </row>
    <row r="53" spans="1:9" ht="15" customHeight="1" x14ac:dyDescent="0.2">
      <c r="A53" s="2">
        <v>44980</v>
      </c>
      <c r="B53" s="2"/>
      <c r="C53" s="1" t="s">
        <v>185</v>
      </c>
      <c r="D53" s="24"/>
      <c r="E53" s="72"/>
      <c r="F53" s="115">
        <v>130864.07</v>
      </c>
      <c r="G53" s="139">
        <v>1991489417.26</v>
      </c>
      <c r="H53" s="51">
        <f t="shared" si="0"/>
        <v>64251.280000000232</v>
      </c>
      <c r="I53" s="50">
        <f t="shared" si="1"/>
        <v>875401766.00779748</v>
      </c>
    </row>
    <row r="54" spans="1:9" ht="15" customHeight="1" x14ac:dyDescent="0.2">
      <c r="A54" s="2">
        <v>44980</v>
      </c>
      <c r="B54" s="2"/>
      <c r="C54" s="1" t="s">
        <v>17</v>
      </c>
      <c r="D54" s="24"/>
      <c r="E54" s="72"/>
      <c r="F54" s="115">
        <v>30</v>
      </c>
      <c r="G54" s="139">
        <v>456540</v>
      </c>
      <c r="H54" s="51">
        <f t="shared" si="0"/>
        <v>64221.280000000232</v>
      </c>
      <c r="I54" s="50">
        <f t="shared" si="1"/>
        <v>874945226.00779748</v>
      </c>
    </row>
    <row r="55" spans="1:9" ht="15" customHeight="1" x14ac:dyDescent="0.2">
      <c r="A55" s="2">
        <v>44981</v>
      </c>
      <c r="B55" s="2"/>
      <c r="C55" s="1" t="s">
        <v>185</v>
      </c>
      <c r="D55" s="24"/>
      <c r="E55" s="72"/>
      <c r="F55" s="115">
        <v>130864.08</v>
      </c>
      <c r="G55" s="139">
        <v>1987432782.96</v>
      </c>
      <c r="H55" s="51">
        <f t="shared" si="0"/>
        <v>-66642.79999999977</v>
      </c>
      <c r="I55" s="50">
        <f t="shared" si="1"/>
        <v>-1112487556.9522026</v>
      </c>
    </row>
    <row r="56" spans="1:9" ht="15" customHeight="1" x14ac:dyDescent="0.2">
      <c r="A56" s="2">
        <v>44981</v>
      </c>
      <c r="B56" s="2"/>
      <c r="C56" s="1" t="s">
        <v>17</v>
      </c>
      <c r="D56" s="24"/>
      <c r="E56" s="72"/>
      <c r="F56" s="115">
        <v>30</v>
      </c>
      <c r="G56" s="139">
        <v>455610</v>
      </c>
      <c r="H56" s="51">
        <f t="shared" si="0"/>
        <v>-66672.79999999977</v>
      </c>
      <c r="I56" s="50">
        <f t="shared" si="1"/>
        <v>-1112943166.9522026</v>
      </c>
    </row>
    <row r="57" spans="1:9" ht="15" customHeight="1" x14ac:dyDescent="0.2">
      <c r="A57" s="2">
        <v>44984</v>
      </c>
      <c r="B57" s="2"/>
      <c r="C57" s="1" t="s">
        <v>261</v>
      </c>
      <c r="D57" s="24"/>
      <c r="E57" s="72"/>
      <c r="F57" s="154">
        <f>138472.8-27000-41000</f>
        <v>70472.799999999988</v>
      </c>
      <c r="G57" s="139">
        <f>2107002124.8-410832000-623856000</f>
        <v>1072314124.8</v>
      </c>
      <c r="H57" s="51">
        <f t="shared" si="0"/>
        <v>-137145.59999999974</v>
      </c>
      <c r="I57" s="50">
        <f t="shared" si="1"/>
        <v>-2185257291.7522025</v>
      </c>
    </row>
    <row r="58" spans="1:9" ht="15" customHeight="1" x14ac:dyDescent="0.2">
      <c r="A58" s="2">
        <v>44984</v>
      </c>
      <c r="B58" s="2"/>
      <c r="C58" s="1" t="s">
        <v>245</v>
      </c>
      <c r="D58" s="24"/>
      <c r="E58" s="72"/>
      <c r="F58" s="147">
        <v>41000</v>
      </c>
      <c r="G58" s="139">
        <v>623856000</v>
      </c>
      <c r="H58" s="51">
        <f t="shared" si="0"/>
        <v>-178145.59999999974</v>
      </c>
      <c r="I58" s="50">
        <f t="shared" si="1"/>
        <v>-2809113291.7522025</v>
      </c>
    </row>
    <row r="59" spans="1:9" ht="15" customHeight="1" x14ac:dyDescent="0.2">
      <c r="A59" s="2">
        <v>44984</v>
      </c>
      <c r="B59" s="2"/>
      <c r="C59" s="1" t="s">
        <v>17</v>
      </c>
      <c r="D59" s="24"/>
      <c r="E59" s="72"/>
      <c r="F59" s="154">
        <v>30</v>
      </c>
      <c r="G59" s="139">
        <v>456480</v>
      </c>
      <c r="H59" s="51">
        <f t="shared" si="0"/>
        <v>-178175.59999999974</v>
      </c>
      <c r="I59" s="50">
        <f t="shared" si="1"/>
        <v>-2809569771.7522025</v>
      </c>
    </row>
    <row r="60" spans="1:9" ht="15" customHeight="1" x14ac:dyDescent="0.2">
      <c r="A60" s="2">
        <v>44984</v>
      </c>
      <c r="B60" s="2"/>
      <c r="C60" s="1" t="s">
        <v>219</v>
      </c>
      <c r="D60" s="24"/>
      <c r="E60" s="72"/>
      <c r="F60" s="116">
        <v>27000</v>
      </c>
      <c r="G60" s="139">
        <v>410832000</v>
      </c>
      <c r="H60" s="51">
        <f t="shared" si="0"/>
        <v>-205175.59999999974</v>
      </c>
      <c r="I60" s="50">
        <f t="shared" si="1"/>
        <v>-3220401771.7522025</v>
      </c>
    </row>
    <row r="61" spans="1:9" ht="15" customHeight="1" x14ac:dyDescent="0.2">
      <c r="A61" s="2">
        <v>44985</v>
      </c>
      <c r="B61" s="2"/>
      <c r="C61" s="1" t="s">
        <v>18</v>
      </c>
      <c r="D61" s="24"/>
      <c r="E61" s="72">
        <v>96083126.150000006</v>
      </c>
      <c r="F61" s="114"/>
      <c r="G61" s="139"/>
      <c r="H61" s="52">
        <f t="shared" si="0"/>
        <v>-205175.59999999974</v>
      </c>
      <c r="I61" s="53">
        <f t="shared" si="1"/>
        <v>-3124318645.6022024</v>
      </c>
    </row>
    <row r="62" spans="1:9" ht="15" customHeight="1" x14ac:dyDescent="0.2">
      <c r="A62" s="2">
        <v>45009</v>
      </c>
      <c r="B62" s="2"/>
      <c r="C62" s="1" t="s">
        <v>218</v>
      </c>
      <c r="D62" s="99">
        <v>265052.59999999998</v>
      </c>
      <c r="E62" s="72">
        <v>4076774040.5999994</v>
      </c>
      <c r="F62" s="114"/>
      <c r="G62" s="139"/>
      <c r="H62" s="51">
        <f t="shared" si="0"/>
        <v>59877.000000000233</v>
      </c>
      <c r="I62" s="50">
        <f t="shared" si="1"/>
        <v>952455394.99779701</v>
      </c>
    </row>
    <row r="63" spans="1:9" ht="15" customHeight="1" x14ac:dyDescent="0.2">
      <c r="A63" s="2">
        <v>45015</v>
      </c>
      <c r="B63" s="2"/>
      <c r="C63" s="1" t="s">
        <v>217</v>
      </c>
      <c r="D63" s="144">
        <v>132166.01</v>
      </c>
      <c r="E63" s="72">
        <v>2022668617.0400002</v>
      </c>
      <c r="F63" s="114"/>
      <c r="G63" s="139"/>
      <c r="H63" s="51">
        <f t="shared" si="0"/>
        <v>192043.01000000024</v>
      </c>
      <c r="I63" s="50">
        <f t="shared" si="1"/>
        <v>2975124012.037797</v>
      </c>
    </row>
    <row r="64" spans="1:9" ht="15" customHeight="1" x14ac:dyDescent="0.2">
      <c r="A64" s="2">
        <v>45000</v>
      </c>
      <c r="B64" s="2"/>
      <c r="C64" s="1" t="s">
        <v>215</v>
      </c>
      <c r="D64" s="24"/>
      <c r="E64" s="72"/>
      <c r="F64" s="114">
        <f>104061.4-32000-42000-13000-10000</f>
        <v>7061.3999999999942</v>
      </c>
      <c r="G64" s="139">
        <f>1600464332-492160000-645960000-199940000-153800000</f>
        <v>108604332</v>
      </c>
      <c r="H64" s="51">
        <f t="shared" si="0"/>
        <v>184981.61000000025</v>
      </c>
      <c r="I64" s="50">
        <f t="shared" si="1"/>
        <v>2866519680.037797</v>
      </c>
    </row>
    <row r="65" spans="1:9" ht="15" customHeight="1" x14ac:dyDescent="0.2">
      <c r="A65" s="2">
        <v>45000</v>
      </c>
      <c r="B65" s="2"/>
      <c r="C65" s="1" t="s">
        <v>285</v>
      </c>
      <c r="D65" s="24"/>
      <c r="E65" s="72"/>
      <c r="F65" s="165">
        <v>10000</v>
      </c>
      <c r="G65" s="139">
        <v>153800000</v>
      </c>
      <c r="H65" s="51">
        <f t="shared" si="0"/>
        <v>174981.61000000025</v>
      </c>
      <c r="I65" s="50">
        <f t="shared" si="1"/>
        <v>2712719680.037797</v>
      </c>
    </row>
    <row r="66" spans="1:9" ht="15" customHeight="1" x14ac:dyDescent="0.2">
      <c r="A66" s="2">
        <v>45000</v>
      </c>
      <c r="B66" s="2"/>
      <c r="C66" s="1" t="s">
        <v>254</v>
      </c>
      <c r="D66" s="24"/>
      <c r="E66" s="72"/>
      <c r="F66" s="149">
        <v>32000</v>
      </c>
      <c r="G66" s="139">
        <v>492160000</v>
      </c>
      <c r="H66" s="51">
        <f t="shared" ref="H66:H97" si="2">+H65+D66-F66</f>
        <v>142981.61000000025</v>
      </c>
      <c r="I66" s="50">
        <f t="shared" ref="I66:I97" si="3">+I65+E66-G66</f>
        <v>2220559680.037797</v>
      </c>
    </row>
    <row r="67" spans="1:9" ht="15" customHeight="1" x14ac:dyDescent="0.2">
      <c r="A67" s="2">
        <v>45000</v>
      </c>
      <c r="B67" s="2"/>
      <c r="C67" s="1" t="s">
        <v>256</v>
      </c>
      <c r="D67" s="24"/>
      <c r="E67" s="72"/>
      <c r="F67" s="149">
        <v>42000</v>
      </c>
      <c r="G67" s="139">
        <v>645960000</v>
      </c>
      <c r="H67" s="51">
        <f t="shared" si="2"/>
        <v>100981.61000000025</v>
      </c>
      <c r="I67" s="50">
        <f t="shared" si="3"/>
        <v>1574599680.037797</v>
      </c>
    </row>
    <row r="68" spans="1:9" ht="15" customHeight="1" x14ac:dyDescent="0.2">
      <c r="A68" s="2">
        <v>45000</v>
      </c>
      <c r="B68" s="2"/>
      <c r="C68" s="1" t="s">
        <v>257</v>
      </c>
      <c r="D68" s="24"/>
      <c r="E68" s="72"/>
      <c r="F68" s="149">
        <v>13000</v>
      </c>
      <c r="G68" s="139">
        <v>199940000</v>
      </c>
      <c r="H68" s="51">
        <f t="shared" si="2"/>
        <v>87981.610000000248</v>
      </c>
      <c r="I68" s="50">
        <f t="shared" si="3"/>
        <v>1374659680.037797</v>
      </c>
    </row>
    <row r="69" spans="1:9" ht="15" customHeight="1" x14ac:dyDescent="0.2">
      <c r="A69" s="2">
        <v>45000</v>
      </c>
      <c r="B69" s="2"/>
      <c r="C69" s="1" t="s">
        <v>17</v>
      </c>
      <c r="D69" s="24"/>
      <c r="E69" s="72"/>
      <c r="F69" s="114">
        <v>30</v>
      </c>
      <c r="G69" s="139">
        <v>461400</v>
      </c>
      <c r="H69" s="51">
        <f t="shared" si="2"/>
        <v>87951.610000000248</v>
      </c>
      <c r="I69" s="50">
        <f t="shared" si="3"/>
        <v>1374198280.037797</v>
      </c>
    </row>
    <row r="70" spans="1:9" ht="15" customHeight="1" x14ac:dyDescent="0.2">
      <c r="A70" s="2">
        <v>45009</v>
      </c>
      <c r="B70" s="2"/>
      <c r="C70" s="1" t="s">
        <v>219</v>
      </c>
      <c r="D70" s="24"/>
      <c r="E70" s="72"/>
      <c r="F70" s="116">
        <v>222854.6</v>
      </c>
      <c r="G70" s="139">
        <v>3420595255.4000001</v>
      </c>
      <c r="H70" s="51">
        <f t="shared" si="2"/>
        <v>-134902.98999999976</v>
      </c>
      <c r="I70" s="50">
        <f t="shared" si="3"/>
        <v>-2046396975.3622031</v>
      </c>
    </row>
    <row r="71" spans="1:9" ht="15" customHeight="1" x14ac:dyDescent="0.2">
      <c r="A71" s="2">
        <v>45009</v>
      </c>
      <c r="B71" s="2"/>
      <c r="C71" s="1" t="s">
        <v>17</v>
      </c>
      <c r="D71" s="24"/>
      <c r="E71" s="72"/>
      <c r="F71" s="116">
        <v>30</v>
      </c>
      <c r="G71" s="139">
        <v>460470</v>
      </c>
      <c r="H71" s="51">
        <f t="shared" si="2"/>
        <v>-134932.98999999976</v>
      </c>
      <c r="I71" s="50">
        <f t="shared" si="3"/>
        <v>-2046857445.3622031</v>
      </c>
    </row>
    <row r="72" spans="1:9" ht="15" customHeight="1" x14ac:dyDescent="0.2">
      <c r="A72" s="2">
        <v>45016</v>
      </c>
      <c r="C72" s="1" t="s">
        <v>18</v>
      </c>
      <c r="E72" s="4"/>
      <c r="F72" s="101"/>
      <c r="G72" s="151">
        <v>11814827.199999999</v>
      </c>
      <c r="H72" s="52">
        <f t="shared" si="2"/>
        <v>-134932.98999999976</v>
      </c>
      <c r="I72" s="53">
        <f t="shared" si="3"/>
        <v>-2058672272.5622032</v>
      </c>
    </row>
    <row r="73" spans="1:9" ht="15" customHeight="1" x14ac:dyDescent="0.2">
      <c r="A73" s="2">
        <v>45021</v>
      </c>
      <c r="C73" s="1" t="s">
        <v>233</v>
      </c>
      <c r="D73" s="146">
        <v>267161.14</v>
      </c>
      <c r="E73" s="4">
        <v>4028522830.0600004</v>
      </c>
      <c r="F73" s="101"/>
      <c r="H73" s="51">
        <f t="shared" si="2"/>
        <v>132228.15000000026</v>
      </c>
      <c r="I73" s="50">
        <f t="shared" si="3"/>
        <v>1969850557.4977973</v>
      </c>
    </row>
    <row r="74" spans="1:9" ht="15" customHeight="1" x14ac:dyDescent="0.2">
      <c r="A74" s="2">
        <v>45022</v>
      </c>
      <c r="C74" s="1" t="s">
        <v>236</v>
      </c>
      <c r="E74" s="4"/>
      <c r="F74" s="101">
        <f>145879.6-10000-23000-23000-23000-20909.6-20000-23000</f>
        <v>2970.0000000000073</v>
      </c>
      <c r="G74" s="151">
        <f>2178420066.8-149330000-343459000-343459000-343459000-312243056.8-298660000-343459000</f>
        <v>44351010.000000238</v>
      </c>
      <c r="H74" s="51">
        <f t="shared" si="2"/>
        <v>129258.15000000026</v>
      </c>
      <c r="I74" s="50">
        <f t="shared" si="3"/>
        <v>1925499547.497797</v>
      </c>
    </row>
    <row r="75" spans="1:9" ht="15" customHeight="1" x14ac:dyDescent="0.2">
      <c r="A75" s="2">
        <v>45022</v>
      </c>
      <c r="C75" s="1" t="s">
        <v>290</v>
      </c>
      <c r="E75" s="4"/>
      <c r="F75" s="166">
        <v>23000</v>
      </c>
      <c r="G75" s="151">
        <v>343459000</v>
      </c>
      <c r="H75" s="51">
        <f t="shared" si="2"/>
        <v>106258.15000000026</v>
      </c>
      <c r="I75" s="50">
        <f t="shared" si="3"/>
        <v>1582040547.497797</v>
      </c>
    </row>
    <row r="76" spans="1:9" ht="15" customHeight="1" x14ac:dyDescent="0.2">
      <c r="A76" s="2">
        <v>45022</v>
      </c>
      <c r="C76" s="1" t="s">
        <v>285</v>
      </c>
      <c r="E76" s="4"/>
      <c r="F76" s="166">
        <v>20000</v>
      </c>
      <c r="G76" s="151">
        <v>298660000</v>
      </c>
      <c r="H76" s="51">
        <f t="shared" si="2"/>
        <v>86258.150000000256</v>
      </c>
      <c r="I76" s="50">
        <f t="shared" si="3"/>
        <v>1283380547.497797</v>
      </c>
    </row>
    <row r="77" spans="1:9" ht="15" customHeight="1" x14ac:dyDescent="0.2">
      <c r="A77" s="2">
        <v>45022</v>
      </c>
      <c r="C77" s="1" t="s">
        <v>283</v>
      </c>
      <c r="E77" s="4"/>
      <c r="F77" s="167">
        <v>20909.599999999999</v>
      </c>
      <c r="G77" s="151">
        <v>312243056.80000001</v>
      </c>
      <c r="H77" s="51">
        <f t="shared" si="2"/>
        <v>65348.550000000258</v>
      </c>
      <c r="I77" s="50">
        <f t="shared" si="3"/>
        <v>971137490.69779706</v>
      </c>
    </row>
    <row r="78" spans="1:9" ht="15" customHeight="1" x14ac:dyDescent="0.2">
      <c r="A78" s="2">
        <v>45022</v>
      </c>
      <c r="C78" s="1" t="s">
        <v>280</v>
      </c>
      <c r="E78" s="4"/>
      <c r="F78" s="166">
        <v>23000</v>
      </c>
      <c r="G78" s="151">
        <v>343459000</v>
      </c>
      <c r="H78" s="51">
        <f t="shared" si="2"/>
        <v>42348.550000000258</v>
      </c>
      <c r="I78" s="50">
        <f t="shared" si="3"/>
        <v>627678490.69779706</v>
      </c>
    </row>
    <row r="79" spans="1:9" ht="15" customHeight="1" x14ac:dyDescent="0.2">
      <c r="A79" s="2">
        <v>45022</v>
      </c>
      <c r="C79" s="1" t="s">
        <v>279</v>
      </c>
      <c r="E79" s="4"/>
      <c r="F79" s="166">
        <v>23000</v>
      </c>
      <c r="G79" s="151">
        <v>343459000</v>
      </c>
      <c r="H79" s="51">
        <f t="shared" si="2"/>
        <v>19348.550000000258</v>
      </c>
      <c r="I79" s="50">
        <f t="shared" si="3"/>
        <v>284219490.69779706</v>
      </c>
    </row>
    <row r="80" spans="1:9" ht="15" customHeight="1" x14ac:dyDescent="0.2">
      <c r="A80" s="2">
        <v>45022</v>
      </c>
      <c r="C80" s="1" t="s">
        <v>257</v>
      </c>
      <c r="E80" s="4"/>
      <c r="F80" s="150">
        <v>10000</v>
      </c>
      <c r="G80" s="151">
        <v>149330000</v>
      </c>
      <c r="H80" s="51">
        <f t="shared" si="2"/>
        <v>9348.5500000002576</v>
      </c>
      <c r="I80" s="50">
        <f t="shared" si="3"/>
        <v>134889490.69779706</v>
      </c>
    </row>
    <row r="81" spans="1:9" ht="15" customHeight="1" x14ac:dyDescent="0.2">
      <c r="A81" s="2">
        <v>45022</v>
      </c>
      <c r="C81" s="1" t="s">
        <v>258</v>
      </c>
      <c r="E81" s="4"/>
      <c r="F81" s="150">
        <v>23000</v>
      </c>
      <c r="G81" s="151">
        <v>343459000</v>
      </c>
      <c r="H81" s="51">
        <f t="shared" si="2"/>
        <v>-13651.449999999742</v>
      </c>
      <c r="I81" s="50">
        <f t="shared" si="3"/>
        <v>-208569509.30220294</v>
      </c>
    </row>
    <row r="82" spans="1:9" ht="15" customHeight="1" x14ac:dyDescent="0.2">
      <c r="A82" s="2">
        <v>45022</v>
      </c>
      <c r="C82" s="1" t="s">
        <v>17</v>
      </c>
      <c r="E82" s="4"/>
      <c r="F82" s="101">
        <v>30</v>
      </c>
      <c r="G82" s="151">
        <v>447990</v>
      </c>
      <c r="H82" s="51">
        <f t="shared" si="2"/>
        <v>-13681.449999999742</v>
      </c>
      <c r="I82" s="50">
        <f t="shared" si="3"/>
        <v>-209017499.30220294</v>
      </c>
    </row>
    <row r="83" spans="1:9" ht="15" customHeight="1" x14ac:dyDescent="0.2">
      <c r="A83" s="2">
        <v>45022</v>
      </c>
      <c r="C83" s="1" t="s">
        <v>216</v>
      </c>
      <c r="E83" s="4"/>
      <c r="F83" s="142">
        <v>102136.01</v>
      </c>
      <c r="G83" s="151">
        <v>1525197037.3299999</v>
      </c>
      <c r="H83" s="51">
        <f t="shared" si="2"/>
        <v>-115817.45999999973</v>
      </c>
      <c r="I83" s="50">
        <f t="shared" si="3"/>
        <v>-1734214536.6322029</v>
      </c>
    </row>
    <row r="84" spans="1:9" ht="15" customHeight="1" x14ac:dyDescent="0.2">
      <c r="A84" s="2">
        <v>45022</v>
      </c>
      <c r="C84" s="1" t="s">
        <v>17</v>
      </c>
      <c r="E84" s="4"/>
      <c r="F84" s="142">
        <v>30</v>
      </c>
      <c r="G84" s="151">
        <v>447990</v>
      </c>
      <c r="H84" s="51">
        <f t="shared" si="2"/>
        <v>-115847.45999999973</v>
      </c>
      <c r="I84" s="50">
        <f t="shared" si="3"/>
        <v>-1734662526.6322029</v>
      </c>
    </row>
    <row r="85" spans="1:9" ht="15" customHeight="1" x14ac:dyDescent="0.2">
      <c r="A85" s="2">
        <v>45027</v>
      </c>
      <c r="C85" s="1" t="s">
        <v>239</v>
      </c>
      <c r="E85" s="4"/>
      <c r="F85" s="142">
        <v>226131.14</v>
      </c>
      <c r="G85" s="151">
        <v>3370484641.6999998</v>
      </c>
      <c r="H85" s="51">
        <f t="shared" si="2"/>
        <v>-341978.59999999974</v>
      </c>
      <c r="I85" s="50">
        <f t="shared" si="3"/>
        <v>-5105147168.3322029</v>
      </c>
    </row>
    <row r="86" spans="1:9" ht="15" customHeight="1" x14ac:dyDescent="0.2">
      <c r="A86" s="2">
        <v>45027</v>
      </c>
      <c r="C86" s="1" t="s">
        <v>17</v>
      </c>
      <c r="E86" s="4"/>
      <c r="F86" s="142">
        <v>30</v>
      </c>
      <c r="G86" s="151">
        <v>447150</v>
      </c>
      <c r="H86" s="51">
        <f t="shared" si="2"/>
        <v>-342008.59999999974</v>
      </c>
      <c r="I86" s="50">
        <f t="shared" si="3"/>
        <v>-5105594318.3322029</v>
      </c>
    </row>
    <row r="87" spans="1:9" ht="15" customHeight="1" x14ac:dyDescent="0.2">
      <c r="A87" s="2">
        <v>45044</v>
      </c>
      <c r="C87" s="1" t="s">
        <v>244</v>
      </c>
      <c r="E87" s="4"/>
      <c r="F87" s="141">
        <v>251214.26</v>
      </c>
      <c r="G87" s="151">
        <v>3705661549.2600002</v>
      </c>
      <c r="H87" s="51">
        <f t="shared" si="2"/>
        <v>-593222.85999999975</v>
      </c>
      <c r="I87" s="50">
        <f t="shared" si="3"/>
        <v>-8811255867.5922031</v>
      </c>
    </row>
    <row r="88" spans="1:9" ht="15" customHeight="1" x14ac:dyDescent="0.2">
      <c r="A88" s="2">
        <v>45044</v>
      </c>
      <c r="C88" s="1" t="s">
        <v>17</v>
      </c>
      <c r="E88" s="4"/>
      <c r="F88" s="141">
        <v>30</v>
      </c>
      <c r="G88" s="151">
        <v>442530</v>
      </c>
      <c r="H88" s="51">
        <f t="shared" si="2"/>
        <v>-593252.85999999975</v>
      </c>
      <c r="I88" s="50">
        <f t="shared" si="3"/>
        <v>-8811698397.5922031</v>
      </c>
    </row>
    <row r="89" spans="1:9" ht="15" customHeight="1" x14ac:dyDescent="0.2">
      <c r="A89" s="2">
        <v>45046</v>
      </c>
      <c r="C89" s="1" t="s">
        <v>18</v>
      </c>
      <c r="E89" s="4"/>
      <c r="F89" s="101"/>
      <c r="G89" s="151">
        <f>36043589.71+33735038.36+3517419.64</f>
        <v>73296047.709999993</v>
      </c>
      <c r="H89" s="52">
        <f t="shared" si="2"/>
        <v>-593252.85999999975</v>
      </c>
      <c r="I89" s="53">
        <f t="shared" si="3"/>
        <v>-8884994445.3022022</v>
      </c>
    </row>
    <row r="90" spans="1:9" ht="15" customHeight="1" x14ac:dyDescent="0.2">
      <c r="A90" s="2">
        <v>45051</v>
      </c>
      <c r="C90" s="1" t="s">
        <v>246</v>
      </c>
      <c r="D90" s="16">
        <v>195425.82</v>
      </c>
      <c r="E90" s="4">
        <v>2885462232.3000002</v>
      </c>
      <c r="F90" s="101"/>
      <c r="H90" s="24">
        <f t="shared" si="2"/>
        <v>-397827.03999999975</v>
      </c>
      <c r="I90" s="25">
        <f t="shared" si="3"/>
        <v>-5999532213.002202</v>
      </c>
    </row>
    <row r="91" spans="1:9" ht="15" customHeight="1" x14ac:dyDescent="0.2">
      <c r="A91" s="2">
        <v>45051</v>
      </c>
      <c r="C91" s="1" t="s">
        <v>247</v>
      </c>
      <c r="D91" s="71">
        <v>321747.06</v>
      </c>
      <c r="E91" s="4">
        <v>4750595340.8999996</v>
      </c>
      <c r="F91" s="101"/>
      <c r="H91" s="24">
        <f t="shared" si="2"/>
        <v>-76079.979999999749</v>
      </c>
      <c r="I91" s="25">
        <f t="shared" si="3"/>
        <v>-1248936872.1022024</v>
      </c>
    </row>
    <row r="92" spans="1:9" ht="15" customHeight="1" x14ac:dyDescent="0.2">
      <c r="A92" s="2">
        <v>45051</v>
      </c>
      <c r="C92" s="1" t="s">
        <v>248</v>
      </c>
      <c r="D92" s="16">
        <v>261265.01</v>
      </c>
      <c r="E92" s="4">
        <v>3857577872.6500001</v>
      </c>
      <c r="F92" s="101"/>
      <c r="H92" s="24">
        <f t="shared" si="2"/>
        <v>185185.03000000026</v>
      </c>
      <c r="I92" s="25">
        <f t="shared" si="3"/>
        <v>2608641000.5477977</v>
      </c>
    </row>
    <row r="93" spans="1:9" ht="15" customHeight="1" x14ac:dyDescent="0.2">
      <c r="A93" s="2">
        <v>45051</v>
      </c>
      <c r="B93" s="2"/>
      <c r="C93" s="1" t="s">
        <v>254</v>
      </c>
      <c r="D93" s="17"/>
      <c r="F93" s="16">
        <v>163395.82</v>
      </c>
      <c r="G93" s="32">
        <v>2390807638.2399998</v>
      </c>
      <c r="H93" s="24">
        <f t="shared" si="2"/>
        <v>21789.210000000254</v>
      </c>
      <c r="I93" s="25">
        <f t="shared" si="3"/>
        <v>217833362.30779791</v>
      </c>
    </row>
    <row r="94" spans="1:9" ht="15" customHeight="1" x14ac:dyDescent="0.2">
      <c r="A94" s="2">
        <v>45051</v>
      </c>
      <c r="B94" s="2"/>
      <c r="C94" s="1" t="s">
        <v>17</v>
      </c>
      <c r="D94" s="17"/>
      <c r="F94" s="16">
        <v>30</v>
      </c>
      <c r="G94" s="32">
        <v>438960</v>
      </c>
      <c r="H94" s="24">
        <f t="shared" si="2"/>
        <v>21759.210000000254</v>
      </c>
      <c r="I94" s="25">
        <f t="shared" si="3"/>
        <v>217394402.30779791</v>
      </c>
    </row>
    <row r="95" spans="1:9" ht="15" customHeight="1" x14ac:dyDescent="0.2">
      <c r="A95" s="2">
        <v>45056</v>
      </c>
      <c r="B95" s="2"/>
      <c r="C95" s="1" t="s">
        <v>256</v>
      </c>
      <c r="D95" s="17"/>
      <c r="F95" s="16">
        <v>219235.01</v>
      </c>
      <c r="G95" s="32">
        <v>3235251042.5700002</v>
      </c>
      <c r="H95" s="24">
        <f t="shared" si="2"/>
        <v>-197475.79999999976</v>
      </c>
      <c r="I95" s="25">
        <f t="shared" si="3"/>
        <v>-3017856640.2622023</v>
      </c>
    </row>
    <row r="96" spans="1:9" ht="15" customHeight="1" x14ac:dyDescent="0.2">
      <c r="A96" s="2">
        <v>45056</v>
      </c>
      <c r="B96" s="2"/>
      <c r="C96" s="1" t="s">
        <v>17</v>
      </c>
      <c r="D96" s="17"/>
      <c r="F96" s="16">
        <v>30</v>
      </c>
      <c r="G96" s="32">
        <v>442710</v>
      </c>
      <c r="H96" s="24">
        <f t="shared" si="2"/>
        <v>-197505.79999999976</v>
      </c>
      <c r="I96" s="25">
        <f t="shared" si="3"/>
        <v>-3018299350.2622023</v>
      </c>
    </row>
    <row r="97" spans="1:9" ht="15" customHeight="1" x14ac:dyDescent="0.2">
      <c r="A97" s="2">
        <v>45057</v>
      </c>
      <c r="C97" s="1" t="s">
        <v>249</v>
      </c>
      <c r="D97" s="16">
        <v>130073.2</v>
      </c>
      <c r="E97" s="4">
        <v>1909344502.8</v>
      </c>
      <c r="F97" s="101"/>
      <c r="H97" s="24">
        <f t="shared" si="2"/>
        <v>-67432.599999999758</v>
      </c>
      <c r="I97" s="25">
        <f t="shared" si="3"/>
        <v>-1108954847.4622023</v>
      </c>
    </row>
    <row r="98" spans="1:9" ht="15" customHeight="1" x14ac:dyDescent="0.2">
      <c r="A98" s="2">
        <v>45058</v>
      </c>
      <c r="B98" s="2"/>
      <c r="C98" s="1" t="s">
        <v>257</v>
      </c>
      <c r="D98" s="17"/>
      <c r="F98" s="16">
        <v>107043.2</v>
      </c>
      <c r="G98" s="32">
        <v>1575889990.4000001</v>
      </c>
      <c r="H98" s="24">
        <f t="shared" ref="H98:H129" si="4">+H97+D98-F98</f>
        <v>-174475.79999999976</v>
      </c>
      <c r="I98" s="25">
        <f t="shared" ref="I98:I129" si="5">+I97+E98-G98</f>
        <v>-2684844837.8622026</v>
      </c>
    </row>
    <row r="99" spans="1:9" ht="15" customHeight="1" x14ac:dyDescent="0.2">
      <c r="A99" s="2">
        <v>45058</v>
      </c>
      <c r="B99" s="2"/>
      <c r="C99" s="1" t="s">
        <v>17</v>
      </c>
      <c r="F99" s="16">
        <v>30</v>
      </c>
      <c r="G99" s="32">
        <v>441660</v>
      </c>
      <c r="H99" s="24">
        <f t="shared" si="4"/>
        <v>-174505.79999999976</v>
      </c>
      <c r="I99" s="25">
        <f t="shared" si="5"/>
        <v>-2685286497.8622026</v>
      </c>
    </row>
    <row r="100" spans="1:9" ht="15" customHeight="1" x14ac:dyDescent="0.2">
      <c r="A100" s="2">
        <v>45065</v>
      </c>
      <c r="C100" s="1" t="s">
        <v>250</v>
      </c>
      <c r="D100" s="16">
        <v>129952.9</v>
      </c>
      <c r="E100" s="4">
        <v>1915245840.1999998</v>
      </c>
      <c r="F100" s="101"/>
      <c r="H100" s="24">
        <f t="shared" si="4"/>
        <v>-44552.899999999761</v>
      </c>
      <c r="I100" s="25">
        <f t="shared" si="5"/>
        <v>-770040657.66220284</v>
      </c>
    </row>
    <row r="101" spans="1:9" ht="15" customHeight="1" x14ac:dyDescent="0.2">
      <c r="A101" s="2">
        <v>45065</v>
      </c>
      <c r="B101" s="2"/>
      <c r="C101" s="1" t="s">
        <v>258</v>
      </c>
      <c r="F101" s="16">
        <v>106922.9</v>
      </c>
      <c r="G101" s="32">
        <v>1590479206.73</v>
      </c>
      <c r="H101" s="24">
        <f t="shared" si="4"/>
        <v>-151475.79999999976</v>
      </c>
      <c r="I101" s="25">
        <f t="shared" si="5"/>
        <v>-2360519864.3922029</v>
      </c>
    </row>
    <row r="102" spans="1:9" ht="15" customHeight="1" x14ac:dyDescent="0.2">
      <c r="A102" s="2">
        <v>45065</v>
      </c>
      <c r="B102" s="2"/>
      <c r="C102" s="1" t="s">
        <v>17</v>
      </c>
      <c r="F102" s="16">
        <v>30</v>
      </c>
      <c r="G102" s="32">
        <v>446250.3</v>
      </c>
      <c r="H102" s="24">
        <f t="shared" si="4"/>
        <v>-151505.79999999976</v>
      </c>
      <c r="I102" s="25">
        <f t="shared" si="5"/>
        <v>-2360966114.692203</v>
      </c>
    </row>
    <row r="103" spans="1:9" ht="15" customHeight="1" x14ac:dyDescent="0.2">
      <c r="A103" s="2">
        <v>45068</v>
      </c>
      <c r="C103" s="1" t="s">
        <v>282</v>
      </c>
      <c r="F103" s="17">
        <f>145041-20000-20000-48000-26000-10000</f>
        <v>21041</v>
      </c>
      <c r="G103" s="32">
        <f>2166332376-298720000-298720000-716928000-388336000-149360000</f>
        <v>314268376</v>
      </c>
      <c r="H103" s="24">
        <f t="shared" si="4"/>
        <v>-172546.79999999976</v>
      </c>
      <c r="I103" s="25">
        <f t="shared" si="5"/>
        <v>-2675234490.692203</v>
      </c>
    </row>
    <row r="104" spans="1:9" ht="15" customHeight="1" x14ac:dyDescent="0.2">
      <c r="A104" s="2">
        <v>45068</v>
      </c>
      <c r="C104" s="1" t="s">
        <v>322</v>
      </c>
      <c r="F104" s="170">
        <v>10000</v>
      </c>
      <c r="G104" s="32">
        <v>149360000</v>
      </c>
      <c r="H104" s="24">
        <f t="shared" si="4"/>
        <v>-182546.79999999976</v>
      </c>
      <c r="I104" s="25">
        <f t="shared" si="5"/>
        <v>-2824594490.692203</v>
      </c>
    </row>
    <row r="105" spans="1:9" ht="15" customHeight="1" x14ac:dyDescent="0.2">
      <c r="A105" s="2">
        <v>45068</v>
      </c>
      <c r="C105" s="1" t="s">
        <v>321</v>
      </c>
      <c r="F105" s="170">
        <v>26000</v>
      </c>
      <c r="G105" s="32">
        <v>388336000</v>
      </c>
      <c r="H105" s="24">
        <f t="shared" si="4"/>
        <v>-208546.79999999976</v>
      </c>
      <c r="I105" s="25">
        <f t="shared" si="5"/>
        <v>-3212930490.692203</v>
      </c>
    </row>
    <row r="106" spans="1:9" ht="15" customHeight="1" x14ac:dyDescent="0.2">
      <c r="A106" s="2">
        <v>45068</v>
      </c>
      <c r="C106" s="1" t="s">
        <v>319</v>
      </c>
      <c r="F106" s="66">
        <v>48000</v>
      </c>
      <c r="G106" s="32">
        <v>716928000</v>
      </c>
      <c r="H106" s="24">
        <f t="shared" si="4"/>
        <v>-256546.79999999976</v>
      </c>
      <c r="I106" s="25">
        <f t="shared" si="5"/>
        <v>-3929858490.692203</v>
      </c>
    </row>
    <row r="107" spans="1:9" ht="15" customHeight="1" x14ac:dyDescent="0.2">
      <c r="A107" s="2">
        <v>45068</v>
      </c>
      <c r="C107" s="1" t="s">
        <v>284</v>
      </c>
      <c r="F107" s="168">
        <v>20000</v>
      </c>
      <c r="G107" s="32">
        <v>298720000</v>
      </c>
      <c r="H107" s="24">
        <f t="shared" si="4"/>
        <v>-276546.79999999976</v>
      </c>
      <c r="I107" s="25">
        <f t="shared" si="5"/>
        <v>-4228578490.692203</v>
      </c>
    </row>
    <row r="108" spans="1:9" ht="15" customHeight="1" x14ac:dyDescent="0.2">
      <c r="A108" s="2">
        <v>45068</v>
      </c>
      <c r="C108" s="1" t="s">
        <v>283</v>
      </c>
      <c r="F108" s="71">
        <v>20000</v>
      </c>
      <c r="G108" s="32">
        <v>298720000</v>
      </c>
      <c r="H108" s="24">
        <f t="shared" si="4"/>
        <v>-296546.79999999976</v>
      </c>
      <c r="I108" s="25">
        <f t="shared" si="5"/>
        <v>-4527298490.6922035</v>
      </c>
    </row>
    <row r="109" spans="1:9" ht="15" customHeight="1" x14ac:dyDescent="0.2">
      <c r="A109" s="2">
        <v>45068</v>
      </c>
      <c r="C109" s="1" t="s">
        <v>17</v>
      </c>
      <c r="F109" s="17">
        <v>30</v>
      </c>
      <c r="G109" s="32">
        <v>448080</v>
      </c>
      <c r="H109" s="24">
        <f t="shared" si="4"/>
        <v>-296576.79999999976</v>
      </c>
      <c r="I109" s="25">
        <f t="shared" si="5"/>
        <v>-4527746570.6922035</v>
      </c>
    </row>
    <row r="110" spans="1:9" s="4" customFormat="1" ht="15" customHeight="1" x14ac:dyDescent="0.2">
      <c r="A110" s="2">
        <v>45077</v>
      </c>
      <c r="C110" s="4" t="s">
        <v>18</v>
      </c>
      <c r="D110" s="3"/>
      <c r="E110" s="32">
        <f>57416010.29+31340282.8+31796762.8</f>
        <v>120553055.89</v>
      </c>
      <c r="G110" s="32"/>
      <c r="H110" s="156">
        <f t="shared" si="4"/>
        <v>-296576.79999999976</v>
      </c>
      <c r="I110" s="157">
        <f t="shared" si="5"/>
        <v>-4407193514.8022032</v>
      </c>
    </row>
    <row r="111" spans="1:9" s="4" customFormat="1" ht="15" customHeight="1" x14ac:dyDescent="0.2">
      <c r="A111" s="2">
        <v>45091</v>
      </c>
      <c r="B111" s="2"/>
      <c r="C111" s="1" t="s">
        <v>295</v>
      </c>
      <c r="D111" s="66">
        <v>128101.74</v>
      </c>
      <c r="E111" s="32">
        <v>1905129077.28</v>
      </c>
      <c r="F111" s="17"/>
      <c r="G111" s="32"/>
      <c r="H111" s="24">
        <f t="shared" si="4"/>
        <v>-168475.05999999976</v>
      </c>
      <c r="I111" s="25">
        <f t="shared" si="5"/>
        <v>-2502064437.5222034</v>
      </c>
    </row>
    <row r="112" spans="1:9" s="4" customFormat="1" ht="15" customHeight="1" x14ac:dyDescent="0.2">
      <c r="A112" s="2">
        <v>45092</v>
      </c>
      <c r="B112" s="2"/>
      <c r="C112" s="1" t="s">
        <v>286</v>
      </c>
      <c r="D112" s="3"/>
      <c r="E112" s="32"/>
      <c r="F112" s="66">
        <v>99353.22</v>
      </c>
      <c r="G112" s="32">
        <v>1479866211.9000001</v>
      </c>
      <c r="H112" s="24">
        <f t="shared" si="4"/>
        <v>-267828.2799999998</v>
      </c>
      <c r="I112" s="25">
        <f t="shared" si="5"/>
        <v>-3981930649.4222035</v>
      </c>
    </row>
    <row r="113" spans="1:9" s="4" customFormat="1" ht="15" customHeight="1" x14ac:dyDescent="0.2">
      <c r="A113" s="2">
        <v>45092</v>
      </c>
      <c r="B113" s="2"/>
      <c r="C113" s="1" t="s">
        <v>289</v>
      </c>
      <c r="D113" s="3"/>
      <c r="E113" s="32"/>
      <c r="F113" s="66">
        <v>105071.74</v>
      </c>
      <c r="G113" s="32">
        <v>1565043567.3</v>
      </c>
      <c r="H113" s="24">
        <f t="shared" si="4"/>
        <v>-372900.01999999979</v>
      </c>
      <c r="I113" s="25">
        <f t="shared" si="5"/>
        <v>-5546974216.7222033</v>
      </c>
    </row>
    <row r="114" spans="1:9" s="4" customFormat="1" ht="15" customHeight="1" x14ac:dyDescent="0.2">
      <c r="A114" s="2">
        <v>45092</v>
      </c>
      <c r="B114" s="2"/>
      <c r="C114" s="1" t="s">
        <v>17</v>
      </c>
      <c r="D114" s="3"/>
      <c r="E114" s="32"/>
      <c r="F114" s="66">
        <v>30</v>
      </c>
      <c r="G114" s="32">
        <v>446850</v>
      </c>
      <c r="H114" s="24">
        <f t="shared" si="4"/>
        <v>-372930.01999999979</v>
      </c>
      <c r="I114" s="25">
        <f t="shared" si="5"/>
        <v>-5547421066.7222033</v>
      </c>
    </row>
    <row r="115" spans="1:9" s="4" customFormat="1" ht="15" customHeight="1" x14ac:dyDescent="0.2">
      <c r="A115" s="2">
        <v>45092</v>
      </c>
      <c r="B115" s="2"/>
      <c r="C115" s="1" t="s">
        <v>296</v>
      </c>
      <c r="D115" s="66">
        <v>132585.10999999999</v>
      </c>
      <c r="E115" s="32">
        <v>1971805755.9200001</v>
      </c>
      <c r="G115" s="32"/>
      <c r="H115" s="24">
        <f t="shared" si="4"/>
        <v>-240344.9099999998</v>
      </c>
      <c r="I115" s="25">
        <f t="shared" si="5"/>
        <v>-3575615310.8022032</v>
      </c>
    </row>
    <row r="116" spans="1:9" s="4" customFormat="1" ht="15" customHeight="1" x14ac:dyDescent="0.2">
      <c r="A116" s="2">
        <v>45098</v>
      </c>
      <c r="B116" s="2"/>
      <c r="C116" s="1" t="s">
        <v>297</v>
      </c>
      <c r="D116" s="66">
        <v>128629.62</v>
      </c>
      <c r="E116" s="32">
        <v>1917224486.0999999</v>
      </c>
      <c r="G116" s="32"/>
      <c r="H116" s="24">
        <f t="shared" si="4"/>
        <v>-111715.2899999998</v>
      </c>
      <c r="I116" s="25">
        <f t="shared" si="5"/>
        <v>-1658390824.7022033</v>
      </c>
    </row>
    <row r="117" spans="1:9" s="4" customFormat="1" ht="15" customHeight="1" x14ac:dyDescent="0.2">
      <c r="A117" s="2">
        <v>45098</v>
      </c>
      <c r="B117" s="2"/>
      <c r="C117" s="1" t="s">
        <v>298</v>
      </c>
      <c r="D117" s="66">
        <v>129353.22</v>
      </c>
      <c r="E117" s="32">
        <v>1928009744.0999999</v>
      </c>
      <c r="G117" s="32"/>
      <c r="H117" s="24">
        <f t="shared" si="4"/>
        <v>17637.930000000197</v>
      </c>
      <c r="I117" s="25">
        <f t="shared" si="5"/>
        <v>269618919.39779663</v>
      </c>
    </row>
    <row r="118" spans="1:9" s="4" customFormat="1" ht="15" customHeight="1" x14ac:dyDescent="0.2">
      <c r="A118" s="2">
        <v>45103</v>
      </c>
      <c r="B118" s="2"/>
      <c r="C118" s="1" t="s">
        <v>279</v>
      </c>
      <c r="D118" s="3"/>
      <c r="E118" s="32"/>
      <c r="F118" s="66">
        <v>109555.11</v>
      </c>
      <c r="G118" s="32">
        <v>1643107539.78</v>
      </c>
      <c r="H118" s="24">
        <f t="shared" si="4"/>
        <v>-91917.179999999804</v>
      </c>
      <c r="I118" s="25">
        <f t="shared" si="5"/>
        <v>-1373488620.3822033</v>
      </c>
    </row>
    <row r="119" spans="1:9" s="4" customFormat="1" ht="15" customHeight="1" x14ac:dyDescent="0.2">
      <c r="A119" s="2">
        <v>45103</v>
      </c>
      <c r="B119" s="2"/>
      <c r="C119" s="1" t="s">
        <v>17</v>
      </c>
      <c r="D119" s="3"/>
      <c r="E119" s="32"/>
      <c r="F119" s="66">
        <v>30</v>
      </c>
      <c r="G119" s="32">
        <v>449940</v>
      </c>
      <c r="H119" s="24">
        <f t="shared" si="4"/>
        <v>-91947.179999999804</v>
      </c>
      <c r="I119" s="25">
        <f t="shared" si="5"/>
        <v>-1373938560.3822033</v>
      </c>
    </row>
    <row r="120" spans="1:9" s="4" customFormat="1" ht="15" customHeight="1" x14ac:dyDescent="0.2">
      <c r="A120" s="2">
        <v>45104</v>
      </c>
      <c r="B120" s="2"/>
      <c r="C120" s="1" t="s">
        <v>280</v>
      </c>
      <c r="D120" s="3"/>
      <c r="E120" s="32"/>
      <c r="F120" s="66">
        <v>105599.62</v>
      </c>
      <c r="G120" s="32">
        <v>1586739890.1199999</v>
      </c>
      <c r="H120" s="24">
        <f t="shared" si="4"/>
        <v>-197546.79999999981</v>
      </c>
      <c r="I120" s="25">
        <f t="shared" si="5"/>
        <v>-2960678450.502203</v>
      </c>
    </row>
    <row r="121" spans="1:9" s="4" customFormat="1" ht="15" customHeight="1" x14ac:dyDescent="0.2">
      <c r="A121" s="2">
        <v>45104</v>
      </c>
      <c r="B121" s="2"/>
      <c r="C121" s="1" t="s">
        <v>17</v>
      </c>
      <c r="D121" s="3"/>
      <c r="E121" s="32"/>
      <c r="F121" s="66">
        <v>30</v>
      </c>
      <c r="G121" s="32">
        <v>450780</v>
      </c>
      <c r="H121" s="24">
        <f t="shared" si="4"/>
        <v>-197576.79999999981</v>
      </c>
      <c r="I121" s="25">
        <f t="shared" si="5"/>
        <v>-2961129230.502203</v>
      </c>
    </row>
    <row r="122" spans="1:9" s="4" customFormat="1" ht="15" customHeight="1" x14ac:dyDescent="0.2">
      <c r="A122" s="2">
        <v>45105</v>
      </c>
      <c r="B122" s="2"/>
      <c r="C122" s="1" t="s">
        <v>299</v>
      </c>
      <c r="D122" s="71">
        <v>255821.92</v>
      </c>
      <c r="E122" s="32">
        <v>3834003115.04</v>
      </c>
      <c r="G122" s="32"/>
      <c r="H122" s="24">
        <f t="shared" si="4"/>
        <v>58245.120000000199</v>
      </c>
      <c r="I122" s="25">
        <f t="shared" si="5"/>
        <v>872873884.53779697</v>
      </c>
    </row>
    <row r="123" spans="1:9" s="4" customFormat="1" ht="15" customHeight="1" x14ac:dyDescent="0.2">
      <c r="A123" s="2">
        <v>45105</v>
      </c>
      <c r="B123" s="2"/>
      <c r="C123" s="1" t="s">
        <v>300</v>
      </c>
      <c r="D123" s="168">
        <v>127374.47</v>
      </c>
      <c r="E123" s="32">
        <v>1908961181.8900001</v>
      </c>
      <c r="G123" s="32"/>
      <c r="H123" s="24">
        <f t="shared" si="4"/>
        <v>185619.5900000002</v>
      </c>
      <c r="I123" s="25">
        <f t="shared" si="5"/>
        <v>2781835066.4277973</v>
      </c>
    </row>
    <row r="124" spans="1:9" ht="15" customHeight="1" x14ac:dyDescent="0.2">
      <c r="A124" s="2">
        <v>45107</v>
      </c>
      <c r="C124" s="1" t="s">
        <v>18</v>
      </c>
      <c r="E124" s="32">
        <f>36772715.7-2149118.4-1020000</f>
        <v>33603597.300000004</v>
      </c>
      <c r="H124" s="156">
        <f t="shared" si="4"/>
        <v>185619.5900000002</v>
      </c>
      <c r="I124" s="157">
        <f t="shared" si="5"/>
        <v>2815438663.7277975</v>
      </c>
    </row>
    <row r="125" spans="1:9" ht="15" customHeight="1" x14ac:dyDescent="0.2">
      <c r="A125" s="2">
        <v>45110</v>
      </c>
      <c r="B125" s="2"/>
      <c r="C125" s="1" t="s">
        <v>284</v>
      </c>
      <c r="F125" s="168">
        <v>107344.47</v>
      </c>
      <c r="G125" s="32">
        <v>1610167050</v>
      </c>
      <c r="H125" s="24">
        <f t="shared" si="4"/>
        <v>78275.120000000199</v>
      </c>
      <c r="I125" s="25">
        <f t="shared" si="5"/>
        <v>1205271613.7277975</v>
      </c>
    </row>
    <row r="126" spans="1:9" ht="15" customHeight="1" x14ac:dyDescent="0.2">
      <c r="A126" s="2">
        <v>45110</v>
      </c>
      <c r="B126" s="2"/>
      <c r="C126" s="1" t="s">
        <v>17</v>
      </c>
      <c r="F126" s="168">
        <v>30</v>
      </c>
      <c r="G126" s="32">
        <v>450000</v>
      </c>
      <c r="H126" s="24">
        <f t="shared" si="4"/>
        <v>78245.120000000199</v>
      </c>
      <c r="I126" s="25">
        <f t="shared" si="5"/>
        <v>1204821613.7277975</v>
      </c>
    </row>
    <row r="127" spans="1:9" ht="15" customHeight="1" x14ac:dyDescent="0.2">
      <c r="A127" s="2">
        <v>45110</v>
      </c>
      <c r="C127" s="1" t="s">
        <v>283</v>
      </c>
      <c r="F127" s="193">
        <v>214882.32</v>
      </c>
      <c r="G127" s="151">
        <v>3223234800</v>
      </c>
      <c r="H127" s="24">
        <f t="shared" si="4"/>
        <v>-136637.19999999981</v>
      </c>
      <c r="I127" s="25">
        <f t="shared" si="5"/>
        <v>-2018413186.2722025</v>
      </c>
    </row>
    <row r="128" spans="1:9" ht="15" customHeight="1" x14ac:dyDescent="0.2">
      <c r="A128" s="2">
        <v>45110</v>
      </c>
      <c r="B128" s="4"/>
      <c r="C128" s="4" t="s">
        <v>17</v>
      </c>
      <c r="F128" s="194">
        <v>30</v>
      </c>
      <c r="G128" s="32">
        <v>450000</v>
      </c>
      <c r="H128" s="24">
        <f t="shared" si="4"/>
        <v>-136667.19999999981</v>
      </c>
      <c r="I128" s="25">
        <f t="shared" si="5"/>
        <v>-2018863186.2722025</v>
      </c>
    </row>
    <row r="129" spans="1:9" ht="15" customHeight="1" x14ac:dyDescent="0.2">
      <c r="A129" s="2">
        <v>45114</v>
      </c>
      <c r="C129" s="1" t="s">
        <v>323</v>
      </c>
      <c r="E129" s="4"/>
      <c r="F129" s="3">
        <f>148034.4-20000-20000-20000-20000-12000-10000-6000-10000</f>
        <v>30034.399999999994</v>
      </c>
      <c r="G129" s="4">
        <f>2229694132.8-301240000-301240000-301240000-301240000-180744000-150620000-90372000-150620000</f>
        <v>452378132.80000019</v>
      </c>
      <c r="H129" s="24">
        <f t="shared" si="4"/>
        <v>-166701.5999999998</v>
      </c>
      <c r="I129" s="25">
        <f t="shared" si="5"/>
        <v>-2471241319.0722027</v>
      </c>
    </row>
    <row r="130" spans="1:9" ht="15" customHeight="1" x14ac:dyDescent="0.2">
      <c r="A130" s="2">
        <v>45114</v>
      </c>
      <c r="C130" s="1" t="s">
        <v>379</v>
      </c>
      <c r="E130" s="4"/>
      <c r="F130" s="206">
        <v>10000</v>
      </c>
      <c r="G130" s="4">
        <v>150620000</v>
      </c>
      <c r="H130" s="24">
        <f t="shared" ref="H130:H161" si="6">+H129+D130-F130</f>
        <v>-176701.5999999998</v>
      </c>
      <c r="I130" s="25">
        <f t="shared" ref="I130:I161" si="7">+I129+E130-G130</f>
        <v>-2621861319.0722027</v>
      </c>
    </row>
    <row r="131" spans="1:9" ht="15" customHeight="1" x14ac:dyDescent="0.2">
      <c r="A131" s="2">
        <v>45114</v>
      </c>
      <c r="C131" s="1" t="s">
        <v>377</v>
      </c>
      <c r="E131" s="4"/>
      <c r="F131" s="204">
        <v>6000</v>
      </c>
      <c r="G131" s="4">
        <v>90372000</v>
      </c>
      <c r="H131" s="24">
        <f t="shared" si="6"/>
        <v>-182701.5999999998</v>
      </c>
      <c r="I131" s="25">
        <f t="shared" si="7"/>
        <v>-2712233319.0722027</v>
      </c>
    </row>
    <row r="132" spans="1:9" ht="15" customHeight="1" x14ac:dyDescent="0.2">
      <c r="A132" s="2">
        <v>45114</v>
      </c>
      <c r="C132" s="1" t="s">
        <v>354</v>
      </c>
      <c r="E132" s="4"/>
      <c r="F132" s="44">
        <v>10000</v>
      </c>
      <c r="G132" s="4">
        <v>150620000</v>
      </c>
      <c r="H132" s="24">
        <f t="shared" si="6"/>
        <v>-192701.5999999998</v>
      </c>
      <c r="I132" s="25">
        <f t="shared" si="7"/>
        <v>-2862853319.0722027</v>
      </c>
    </row>
    <row r="133" spans="1:9" ht="15" customHeight="1" x14ac:dyDescent="0.2">
      <c r="A133" s="2">
        <v>45114</v>
      </c>
      <c r="C133" s="1" t="s">
        <v>355</v>
      </c>
      <c r="E133" s="4"/>
      <c r="F133" s="44">
        <v>12000</v>
      </c>
      <c r="G133" s="4">
        <v>180744000</v>
      </c>
      <c r="H133" s="24">
        <f t="shared" si="6"/>
        <v>-204701.5999999998</v>
      </c>
      <c r="I133" s="25">
        <f t="shared" si="7"/>
        <v>-3043597319.0722027</v>
      </c>
    </row>
    <row r="134" spans="1:9" ht="15" customHeight="1" x14ac:dyDescent="0.2">
      <c r="A134" s="2">
        <v>45114</v>
      </c>
      <c r="C134" s="1" t="s">
        <v>350</v>
      </c>
      <c r="E134" s="4"/>
      <c r="F134" s="44">
        <v>20000</v>
      </c>
      <c r="G134" s="4">
        <v>301240000</v>
      </c>
      <c r="H134" s="24">
        <f t="shared" si="6"/>
        <v>-224701.5999999998</v>
      </c>
      <c r="I134" s="25">
        <f t="shared" si="7"/>
        <v>-3344837319.0722027</v>
      </c>
    </row>
    <row r="135" spans="1:9" ht="15" customHeight="1" x14ac:dyDescent="0.2">
      <c r="A135" s="2">
        <v>45114</v>
      </c>
      <c r="C135" s="1" t="s">
        <v>325</v>
      </c>
      <c r="E135" s="4"/>
      <c r="F135" s="161">
        <v>20000</v>
      </c>
      <c r="G135" s="4">
        <v>301240000</v>
      </c>
      <c r="H135" s="24">
        <f t="shared" si="6"/>
        <v>-244701.5999999998</v>
      </c>
      <c r="I135" s="25">
        <f t="shared" si="7"/>
        <v>-3646077319.0722027</v>
      </c>
    </row>
    <row r="136" spans="1:9" ht="15" customHeight="1" x14ac:dyDescent="0.2">
      <c r="A136" s="2">
        <v>45114</v>
      </c>
      <c r="C136" s="1" t="s">
        <v>324</v>
      </c>
      <c r="E136" s="4"/>
      <c r="F136" s="192">
        <v>20000</v>
      </c>
      <c r="G136" s="4">
        <v>301240000</v>
      </c>
      <c r="H136" s="24">
        <f t="shared" si="6"/>
        <v>-264701.5999999998</v>
      </c>
      <c r="I136" s="25">
        <f t="shared" si="7"/>
        <v>-3947317319.0722027</v>
      </c>
    </row>
    <row r="137" spans="1:9" ht="15" customHeight="1" x14ac:dyDescent="0.2">
      <c r="A137" s="2">
        <v>45114</v>
      </c>
      <c r="C137" s="1" t="s">
        <v>322</v>
      </c>
      <c r="E137" s="4"/>
      <c r="F137" s="170">
        <v>20000</v>
      </c>
      <c r="G137" s="4">
        <v>301240000</v>
      </c>
      <c r="H137" s="24">
        <f t="shared" si="6"/>
        <v>-284701.5999999998</v>
      </c>
      <c r="I137" s="25">
        <f t="shared" si="7"/>
        <v>-4248557319.0722027</v>
      </c>
    </row>
    <row r="138" spans="1:9" ht="15" customHeight="1" x14ac:dyDescent="0.2">
      <c r="A138" s="2">
        <v>45114</v>
      </c>
      <c r="B138" s="2"/>
      <c r="C138" s="1" t="s">
        <v>17</v>
      </c>
      <c r="D138" s="17"/>
      <c r="F138" s="155">
        <v>30</v>
      </c>
      <c r="G138" s="72">
        <v>451860</v>
      </c>
      <c r="H138" s="24">
        <f t="shared" si="6"/>
        <v>-284731.5999999998</v>
      </c>
      <c r="I138" s="25">
        <f t="shared" si="7"/>
        <v>-4249009179.0722027</v>
      </c>
    </row>
    <row r="139" spans="1:9" s="4" customFormat="1" ht="15" customHeight="1" x14ac:dyDescent="0.2">
      <c r="A139" s="2">
        <v>45127</v>
      </c>
      <c r="B139" s="2"/>
      <c r="C139" s="1" t="s">
        <v>335</v>
      </c>
      <c r="D139" s="66">
        <v>254103.39</v>
      </c>
      <c r="E139" s="32">
        <v>3830100397.4699998</v>
      </c>
      <c r="G139" s="32"/>
      <c r="H139" s="24">
        <f t="shared" si="6"/>
        <v>-30628.209999999788</v>
      </c>
      <c r="I139" s="25">
        <f t="shared" si="7"/>
        <v>-418908781.60220289</v>
      </c>
    </row>
    <row r="140" spans="1:9" s="4" customFormat="1" ht="15" customHeight="1" x14ac:dyDescent="0.2">
      <c r="A140" s="2">
        <v>45127</v>
      </c>
      <c r="B140" s="1"/>
      <c r="C140" s="1" t="s">
        <v>319</v>
      </c>
      <c r="D140" s="3"/>
      <c r="E140" s="32"/>
      <c r="F140" s="66">
        <v>206073.39</v>
      </c>
      <c r="G140" s="32">
        <v>3089864409.6599998</v>
      </c>
      <c r="H140" s="24">
        <f t="shared" si="6"/>
        <v>-236701.5999999998</v>
      </c>
      <c r="I140" s="25">
        <f t="shared" si="7"/>
        <v>-3508773191.2622027</v>
      </c>
    </row>
    <row r="141" spans="1:9" s="4" customFormat="1" ht="15" customHeight="1" x14ac:dyDescent="0.2">
      <c r="A141" s="2">
        <v>45127</v>
      </c>
      <c r="B141" s="1"/>
      <c r="C141" s="1" t="s">
        <v>17</v>
      </c>
      <c r="D141" s="3"/>
      <c r="E141" s="32"/>
      <c r="F141" s="66">
        <v>30</v>
      </c>
      <c r="G141" s="32">
        <v>449820</v>
      </c>
      <c r="H141" s="24">
        <f t="shared" si="6"/>
        <v>-236731.5999999998</v>
      </c>
      <c r="I141" s="25">
        <f t="shared" si="7"/>
        <v>-3509223011.2622027</v>
      </c>
    </row>
    <row r="142" spans="1:9" s="4" customFormat="1" ht="15" customHeight="1" x14ac:dyDescent="0.2">
      <c r="A142" s="2">
        <v>45131</v>
      </c>
      <c r="B142" s="2"/>
      <c r="C142" s="1" t="s">
        <v>336</v>
      </c>
      <c r="D142" s="170">
        <v>124118.14</v>
      </c>
      <c r="E142" s="32">
        <v>1870832724.22</v>
      </c>
      <c r="G142" s="32"/>
      <c r="H142" s="24">
        <f t="shared" si="6"/>
        <v>-112613.4599999998</v>
      </c>
      <c r="I142" s="25">
        <f t="shared" si="7"/>
        <v>-1638390287.0422027</v>
      </c>
    </row>
    <row r="143" spans="1:9" s="4" customFormat="1" ht="15" customHeight="1" x14ac:dyDescent="0.2">
      <c r="A143" s="2">
        <v>45132</v>
      </c>
      <c r="B143" s="2"/>
      <c r="C143" s="1" t="s">
        <v>337</v>
      </c>
      <c r="D143" s="170">
        <v>185618.82</v>
      </c>
      <c r="E143" s="32">
        <v>2797832473.8600001</v>
      </c>
      <c r="G143" s="32"/>
      <c r="H143" s="24">
        <f t="shared" si="6"/>
        <v>73005.360000000204</v>
      </c>
      <c r="I143" s="25">
        <f t="shared" si="7"/>
        <v>1159442186.8177974</v>
      </c>
    </row>
    <row r="144" spans="1:9" s="4" customFormat="1" ht="15" customHeight="1" x14ac:dyDescent="0.2">
      <c r="A144" s="2">
        <v>45133</v>
      </c>
      <c r="B144" s="2"/>
      <c r="C144" s="1" t="s">
        <v>321</v>
      </c>
      <c r="D144" s="3"/>
      <c r="E144" s="32"/>
      <c r="F144" s="170">
        <v>98088.14</v>
      </c>
      <c r="G144" s="32">
        <v>1472008716.98</v>
      </c>
      <c r="H144" s="24">
        <f t="shared" si="6"/>
        <v>-25082.779999999795</v>
      </c>
      <c r="I144" s="25">
        <f t="shared" si="7"/>
        <v>-312566530.1622026</v>
      </c>
    </row>
    <row r="145" spans="1:11" s="4" customFormat="1" ht="15" customHeight="1" x14ac:dyDescent="0.2">
      <c r="A145" s="2">
        <v>45133</v>
      </c>
      <c r="B145" s="2"/>
      <c r="C145" s="1" t="s">
        <v>17</v>
      </c>
      <c r="D145" s="3"/>
      <c r="E145" s="32"/>
      <c r="F145" s="170">
        <v>30</v>
      </c>
      <c r="G145" s="32">
        <v>450210</v>
      </c>
      <c r="H145" s="24">
        <f t="shared" si="6"/>
        <v>-25112.779999999795</v>
      </c>
      <c r="I145" s="25">
        <f t="shared" si="7"/>
        <v>-313016740.1622026</v>
      </c>
    </row>
    <row r="146" spans="1:11" s="4" customFormat="1" ht="15" customHeight="1" x14ac:dyDescent="0.2">
      <c r="A146" s="2">
        <v>45134</v>
      </c>
      <c r="B146" s="2"/>
      <c r="C146" s="1" t="s">
        <v>322</v>
      </c>
      <c r="D146" s="3"/>
      <c r="E146" s="32"/>
      <c r="F146" s="170">
        <v>155588.82</v>
      </c>
      <c r="G146" s="32">
        <v>2338811142.2399998</v>
      </c>
      <c r="H146" s="24">
        <f t="shared" si="6"/>
        <v>-180701.5999999998</v>
      </c>
      <c r="I146" s="25">
        <f t="shared" si="7"/>
        <v>-2651827882.4022026</v>
      </c>
    </row>
    <row r="147" spans="1:11" s="4" customFormat="1" ht="15" customHeight="1" x14ac:dyDescent="0.2">
      <c r="A147" s="2">
        <v>45134</v>
      </c>
      <c r="B147" s="2"/>
      <c r="C147" s="1" t="s">
        <v>17</v>
      </c>
      <c r="D147" s="3"/>
      <c r="E147" s="32"/>
      <c r="F147" s="170">
        <v>30</v>
      </c>
      <c r="G147" s="32">
        <v>450960</v>
      </c>
      <c r="H147" s="24">
        <f t="shared" si="6"/>
        <v>-180731.5999999998</v>
      </c>
      <c r="I147" s="25">
        <f t="shared" si="7"/>
        <v>-2652278842.4022026</v>
      </c>
    </row>
    <row r="148" spans="1:11" s="4" customFormat="1" ht="15" customHeight="1" x14ac:dyDescent="0.2">
      <c r="A148" s="2">
        <v>45135</v>
      </c>
      <c r="B148" s="2"/>
      <c r="C148" s="1" t="s">
        <v>338</v>
      </c>
      <c r="D148" s="192">
        <v>124011.78</v>
      </c>
      <c r="E148" s="32">
        <v>1860796758.9000001</v>
      </c>
      <c r="G148" s="32"/>
      <c r="H148" s="24">
        <f t="shared" si="6"/>
        <v>-56719.819999999803</v>
      </c>
      <c r="I148" s="25">
        <f t="shared" si="7"/>
        <v>-791482083.50220251</v>
      </c>
    </row>
    <row r="149" spans="1:11" s="4" customFormat="1" ht="15" customHeight="1" x14ac:dyDescent="0.2">
      <c r="A149" s="2">
        <v>45135</v>
      </c>
      <c r="B149" s="2"/>
      <c r="C149" s="1" t="s">
        <v>339</v>
      </c>
      <c r="D149" s="161">
        <v>122373.47</v>
      </c>
      <c r="E149" s="32">
        <v>1836213917.3499999</v>
      </c>
      <c r="G149" s="32"/>
      <c r="H149" s="24">
        <f t="shared" si="6"/>
        <v>65653.650000000198</v>
      </c>
      <c r="I149" s="25">
        <f t="shared" si="7"/>
        <v>1044731833.8477974</v>
      </c>
    </row>
    <row r="150" spans="1:11" s="4" customFormat="1" ht="15" customHeight="1" x14ac:dyDescent="0.2">
      <c r="A150" s="2">
        <v>45138</v>
      </c>
      <c r="B150" s="2"/>
      <c r="C150" s="1" t="s">
        <v>356</v>
      </c>
      <c r="D150" s="17"/>
      <c r="F150" s="155">
        <f>99562.4-30000-12000-12000-10000-12000-12960+12960+27464</f>
        <v>51026.399999999994</v>
      </c>
      <c r="G150" s="25">
        <f>1501699679.2-452490000-180996000-180996000-150830000-180996000-195475680+592796337.6</f>
        <v>752712336.80000007</v>
      </c>
      <c r="H150" s="24">
        <f t="shared" si="6"/>
        <v>14627.250000000204</v>
      </c>
      <c r="I150" s="25">
        <f t="shared" si="7"/>
        <v>292019497.04779732</v>
      </c>
    </row>
    <row r="151" spans="1:11" s="4" customFormat="1" ht="15" customHeight="1" x14ac:dyDescent="0.2">
      <c r="A151" s="2">
        <v>45138</v>
      </c>
      <c r="B151" s="2"/>
      <c r="C151" s="1" t="s">
        <v>393</v>
      </c>
      <c r="D151" s="17"/>
      <c r="F151" s="189">
        <v>12960</v>
      </c>
      <c r="G151" s="25">
        <v>195475680</v>
      </c>
      <c r="H151" s="24">
        <f t="shared" si="6"/>
        <v>1667.2500000002037</v>
      </c>
      <c r="I151" s="25">
        <f t="shared" si="7"/>
        <v>96543817.047797322</v>
      </c>
    </row>
    <row r="152" spans="1:11" s="4" customFormat="1" ht="15" customHeight="1" x14ac:dyDescent="0.2">
      <c r="A152" s="2">
        <v>45138</v>
      </c>
      <c r="B152" s="2"/>
      <c r="C152" s="1" t="s">
        <v>379</v>
      </c>
      <c r="D152" s="17"/>
      <c r="F152" s="207">
        <v>12000</v>
      </c>
      <c r="G152" s="25">
        <v>180996000</v>
      </c>
      <c r="H152" s="24">
        <f t="shared" si="6"/>
        <v>-10332.749999999796</v>
      </c>
      <c r="I152" s="25">
        <f t="shared" si="7"/>
        <v>-84452182.952202678</v>
      </c>
    </row>
    <row r="153" spans="1:11" s="4" customFormat="1" ht="15" customHeight="1" x14ac:dyDescent="0.2">
      <c r="A153" s="2">
        <v>45138</v>
      </c>
      <c r="B153" s="2"/>
      <c r="C153" s="1" t="s">
        <v>377</v>
      </c>
      <c r="D153" s="17"/>
      <c r="F153" s="205">
        <v>10000</v>
      </c>
      <c r="G153" s="25">
        <v>150830000</v>
      </c>
      <c r="H153" s="24">
        <f t="shared" si="6"/>
        <v>-20332.749999999796</v>
      </c>
      <c r="I153" s="25">
        <f t="shared" si="7"/>
        <v>-235282182.95220268</v>
      </c>
    </row>
    <row r="154" spans="1:11" s="4" customFormat="1" ht="15" customHeight="1" x14ac:dyDescent="0.2">
      <c r="A154" s="2">
        <v>45138</v>
      </c>
      <c r="B154" s="2"/>
      <c r="C154" s="1" t="s">
        <v>354</v>
      </c>
      <c r="D154" s="17"/>
      <c r="F154" s="202">
        <v>12000</v>
      </c>
      <c r="G154" s="25">
        <v>180996000</v>
      </c>
      <c r="H154" s="24">
        <f t="shared" si="6"/>
        <v>-32332.749999999796</v>
      </c>
      <c r="I154" s="25">
        <f t="shared" si="7"/>
        <v>-416278182.95220268</v>
      </c>
    </row>
    <row r="155" spans="1:11" s="4" customFormat="1" ht="15" customHeight="1" x14ac:dyDescent="0.2">
      <c r="A155" s="2">
        <v>45138</v>
      </c>
      <c r="B155" s="2"/>
      <c r="C155" s="1" t="s">
        <v>355</v>
      </c>
      <c r="D155" s="17"/>
      <c r="F155" s="202">
        <v>12000</v>
      </c>
      <c r="G155" s="25">
        <v>180996000</v>
      </c>
      <c r="H155" s="24">
        <f t="shared" si="6"/>
        <v>-44332.749999999796</v>
      </c>
      <c r="I155" s="25">
        <f t="shared" si="7"/>
        <v>-597274182.95220268</v>
      </c>
    </row>
    <row r="156" spans="1:11" s="4" customFormat="1" ht="15" customHeight="1" x14ac:dyDescent="0.2">
      <c r="A156" s="2">
        <v>45138</v>
      </c>
      <c r="B156" s="2"/>
      <c r="C156" s="1" t="s">
        <v>357</v>
      </c>
      <c r="D156" s="17"/>
      <c r="F156" s="160">
        <v>30000</v>
      </c>
      <c r="G156" s="25">
        <v>452490000</v>
      </c>
      <c r="H156" s="24">
        <f t="shared" si="6"/>
        <v>-74332.749999999796</v>
      </c>
      <c r="I156" s="25">
        <f t="shared" si="7"/>
        <v>-1049764182.9522027</v>
      </c>
    </row>
    <row r="157" spans="1:11" ht="15" customHeight="1" x14ac:dyDescent="0.2">
      <c r="A157" s="2">
        <v>45138</v>
      </c>
      <c r="B157" s="2"/>
      <c r="C157" s="1" t="s">
        <v>17</v>
      </c>
      <c r="D157" s="17"/>
      <c r="E157" s="4"/>
      <c r="F157" s="155">
        <v>30</v>
      </c>
      <c r="G157" s="25">
        <v>452490</v>
      </c>
      <c r="H157" s="24">
        <f t="shared" si="6"/>
        <v>-74362.749999999796</v>
      </c>
      <c r="I157" s="25">
        <f t="shared" si="7"/>
        <v>-1050216672.9522027</v>
      </c>
      <c r="J157" s="1"/>
      <c r="K157" s="1"/>
    </row>
    <row r="158" spans="1:11" s="4" customFormat="1" ht="15" customHeight="1" x14ac:dyDescent="0.2">
      <c r="A158" s="197">
        <v>45138</v>
      </c>
      <c r="C158" s="4" t="s">
        <v>18</v>
      </c>
      <c r="D158" s="3"/>
      <c r="E158" s="32"/>
      <c r="G158" s="32">
        <f>18008168.86-1140000-1140000+6576000-1395868.11-2793860.16+16282167.81</f>
        <v>34396608.399999999</v>
      </c>
      <c r="H158" s="156">
        <f t="shared" si="6"/>
        <v>-74362.749999999796</v>
      </c>
      <c r="I158" s="157">
        <f t="shared" si="7"/>
        <v>-1084613281.3522027</v>
      </c>
    </row>
    <row r="159" spans="1:11" s="4" customFormat="1" ht="15" customHeight="1" x14ac:dyDescent="0.2">
      <c r="A159" s="2">
        <v>45139</v>
      </c>
      <c r="B159" s="2"/>
      <c r="C159" s="1" t="s">
        <v>324</v>
      </c>
      <c r="D159" s="3"/>
      <c r="E159" s="32"/>
      <c r="F159" s="192">
        <v>103981.78</v>
      </c>
      <c r="G159" s="32">
        <v>1569293023.76</v>
      </c>
      <c r="H159" s="24">
        <f t="shared" si="6"/>
        <v>-178344.5299999998</v>
      </c>
      <c r="I159" s="25">
        <f t="shared" si="7"/>
        <v>-2653906305.1122026</v>
      </c>
    </row>
    <row r="160" spans="1:11" s="4" customFormat="1" ht="15" customHeight="1" x14ac:dyDescent="0.2">
      <c r="A160" s="2">
        <v>45139</v>
      </c>
      <c r="B160" s="2"/>
      <c r="C160" s="1" t="s">
        <v>17</v>
      </c>
      <c r="D160" s="3"/>
      <c r="E160" s="32"/>
      <c r="F160" s="192">
        <v>30</v>
      </c>
      <c r="G160" s="32">
        <v>452760</v>
      </c>
      <c r="H160" s="24">
        <f t="shared" si="6"/>
        <v>-178374.5299999998</v>
      </c>
      <c r="I160" s="25">
        <f t="shared" si="7"/>
        <v>-2654359065.1122026</v>
      </c>
    </row>
    <row r="161" spans="1:9" s="4" customFormat="1" ht="15" customHeight="1" x14ac:dyDescent="0.2">
      <c r="A161" s="2">
        <v>45140</v>
      </c>
      <c r="B161" s="2"/>
      <c r="C161" s="1" t="s">
        <v>325</v>
      </c>
      <c r="D161" s="3"/>
      <c r="E161" s="32"/>
      <c r="F161" s="161">
        <v>102343.47</v>
      </c>
      <c r="G161" s="32">
        <v>1547126235.99</v>
      </c>
      <c r="H161" s="24">
        <f t="shared" si="6"/>
        <v>-280717.99999999977</v>
      </c>
      <c r="I161" s="25">
        <f t="shared" si="7"/>
        <v>-4201485301.1022024</v>
      </c>
    </row>
    <row r="162" spans="1:9" s="4" customFormat="1" ht="15" customHeight="1" x14ac:dyDescent="0.2">
      <c r="A162" s="2">
        <v>45140</v>
      </c>
      <c r="B162" s="2"/>
      <c r="C162" s="1" t="s">
        <v>17</v>
      </c>
      <c r="D162" s="3"/>
      <c r="E162" s="32"/>
      <c r="F162" s="161">
        <v>30</v>
      </c>
      <c r="G162" s="32">
        <v>453510</v>
      </c>
      <c r="H162" s="24">
        <f t="shared" ref="H162:H197" si="8">+H161+D162-F162</f>
        <v>-280747.99999999977</v>
      </c>
      <c r="I162" s="25">
        <f t="shared" ref="I162:I197" si="9">+I161+E162-G162</f>
        <v>-4201938811.1022024</v>
      </c>
    </row>
    <row r="163" spans="1:9" s="4" customFormat="1" ht="15" customHeight="1" x14ac:dyDescent="0.2">
      <c r="A163" s="2">
        <v>45141</v>
      </c>
      <c r="B163" s="1"/>
      <c r="C163" s="1" t="s">
        <v>360</v>
      </c>
      <c r="D163" s="44">
        <v>185335.76</v>
      </c>
      <c r="E163" s="32">
        <v>2785781808.5599999</v>
      </c>
      <c r="G163" s="32"/>
      <c r="H163" s="24">
        <f t="shared" si="8"/>
        <v>-95412.239999999758</v>
      </c>
      <c r="I163" s="25">
        <f t="shared" si="9"/>
        <v>-1416157002.5422025</v>
      </c>
    </row>
    <row r="164" spans="1:9" s="4" customFormat="1" ht="15" customHeight="1" x14ac:dyDescent="0.2">
      <c r="A164" s="2">
        <v>45145</v>
      </c>
      <c r="B164" s="2"/>
      <c r="C164" s="1" t="s">
        <v>350</v>
      </c>
      <c r="D164" s="3"/>
      <c r="E164" s="32"/>
      <c r="F164" s="44">
        <v>165305.76</v>
      </c>
      <c r="G164" s="32">
        <v>2507357767.6799998</v>
      </c>
      <c r="H164" s="24">
        <f t="shared" si="8"/>
        <v>-260717.99999999977</v>
      </c>
      <c r="I164" s="25">
        <f t="shared" si="9"/>
        <v>-3923514770.2222023</v>
      </c>
    </row>
    <row r="165" spans="1:9" s="4" customFormat="1" ht="15" customHeight="1" x14ac:dyDescent="0.2">
      <c r="A165" s="2">
        <v>45145</v>
      </c>
      <c r="B165" s="2"/>
      <c r="C165" s="1" t="s">
        <v>17</v>
      </c>
      <c r="D165" s="3"/>
      <c r="E165" s="32"/>
      <c r="F165" s="44">
        <v>30</v>
      </c>
      <c r="G165" s="32">
        <v>455040</v>
      </c>
      <c r="H165" s="24">
        <f t="shared" si="8"/>
        <v>-260747.99999999977</v>
      </c>
      <c r="I165" s="25">
        <f t="shared" si="9"/>
        <v>-3923969810.2222023</v>
      </c>
    </row>
    <row r="166" spans="1:9" s="4" customFormat="1" ht="15" customHeight="1" x14ac:dyDescent="0.2">
      <c r="A166" s="2">
        <v>45161</v>
      </c>
      <c r="B166" s="2"/>
      <c r="C166" s="1" t="s">
        <v>370</v>
      </c>
      <c r="D166" s="44">
        <v>182638.07</v>
      </c>
      <c r="E166" s="32">
        <v>2798380508.54</v>
      </c>
      <c r="G166" s="32"/>
      <c r="H166" s="24">
        <f t="shared" si="8"/>
        <v>-78109.92999999976</v>
      </c>
      <c r="I166" s="25">
        <f t="shared" si="9"/>
        <v>-1125589301.6822023</v>
      </c>
    </row>
    <row r="167" spans="1:9" s="4" customFormat="1" ht="15" customHeight="1" x14ac:dyDescent="0.2">
      <c r="A167" s="2">
        <v>45163</v>
      </c>
      <c r="B167" s="2"/>
      <c r="C167" s="1" t="s">
        <v>355</v>
      </c>
      <c r="D167" s="3"/>
      <c r="E167" s="32"/>
      <c r="F167" s="44">
        <v>158608.07</v>
      </c>
      <c r="G167" s="32">
        <v>2419248891.71</v>
      </c>
      <c r="H167" s="24">
        <f t="shared" si="8"/>
        <v>-236717.99999999977</v>
      </c>
      <c r="I167" s="25">
        <f t="shared" si="9"/>
        <v>-3544838193.3922024</v>
      </c>
    </row>
    <row r="168" spans="1:9" s="4" customFormat="1" ht="15" customHeight="1" x14ac:dyDescent="0.2">
      <c r="A168" s="2">
        <v>45163</v>
      </c>
      <c r="B168" s="2"/>
      <c r="C168" s="1" t="s">
        <v>17</v>
      </c>
      <c r="D168" s="3"/>
      <c r="E168" s="32"/>
      <c r="F168" s="44">
        <v>30</v>
      </c>
      <c r="G168" s="32">
        <v>457590</v>
      </c>
      <c r="H168" s="24">
        <f t="shared" si="8"/>
        <v>-236747.99999999977</v>
      </c>
      <c r="I168" s="25">
        <f t="shared" si="9"/>
        <v>-3545295783.3922024</v>
      </c>
    </row>
    <row r="169" spans="1:9" s="4" customFormat="1" ht="15" customHeight="1" x14ac:dyDescent="0.2">
      <c r="A169" s="2">
        <v>45161</v>
      </c>
      <c r="B169" s="2"/>
      <c r="C169" s="1" t="s">
        <v>372</v>
      </c>
      <c r="D169" s="44">
        <v>125300.77</v>
      </c>
      <c r="E169" s="32">
        <v>1919858397.9400001</v>
      </c>
      <c r="G169" s="32"/>
      <c r="H169" s="24">
        <f t="shared" si="8"/>
        <v>-111447.22999999976</v>
      </c>
      <c r="I169" s="25">
        <f t="shared" si="9"/>
        <v>-1625437385.4522023</v>
      </c>
    </row>
    <row r="170" spans="1:9" s="4" customFormat="1" ht="15" customHeight="1" x14ac:dyDescent="0.2">
      <c r="A170" s="2">
        <v>45163</v>
      </c>
      <c r="B170" s="2"/>
      <c r="C170" s="1" t="s">
        <v>354</v>
      </c>
      <c r="D170" s="3"/>
      <c r="E170" s="32"/>
      <c r="F170" s="44">
        <v>103270.77</v>
      </c>
      <c r="G170" s="32">
        <v>1575189054.8099999</v>
      </c>
      <c r="H170" s="24">
        <f t="shared" si="8"/>
        <v>-214717.99999999977</v>
      </c>
      <c r="I170" s="25">
        <f t="shared" si="9"/>
        <v>-3200626440.2622023</v>
      </c>
    </row>
    <row r="171" spans="1:9" s="4" customFormat="1" ht="15" customHeight="1" x14ac:dyDescent="0.2">
      <c r="A171" s="2">
        <v>45163</v>
      </c>
      <c r="B171" s="2"/>
      <c r="C171" s="1" t="s">
        <v>17</v>
      </c>
      <c r="D171" s="3"/>
      <c r="E171" s="32"/>
      <c r="F171" s="44">
        <v>30</v>
      </c>
      <c r="G171" s="32">
        <v>457590</v>
      </c>
      <c r="H171" s="24">
        <f t="shared" si="8"/>
        <v>-214747.99999999977</v>
      </c>
      <c r="I171" s="25">
        <f t="shared" si="9"/>
        <v>-3201084030.2622023</v>
      </c>
    </row>
    <row r="172" spans="1:9" s="4" customFormat="1" ht="15" customHeight="1" x14ac:dyDescent="0.2">
      <c r="A172" s="2">
        <v>45167</v>
      </c>
      <c r="B172" s="2"/>
      <c r="C172" s="1" t="s">
        <v>376</v>
      </c>
      <c r="D172" s="204">
        <v>124183.2</v>
      </c>
      <c r="E172" s="32">
        <v>1902734990.4000001</v>
      </c>
      <c r="G172" s="32"/>
      <c r="H172" s="24">
        <f t="shared" si="8"/>
        <v>-90564.79999999977</v>
      </c>
      <c r="I172" s="25">
        <f t="shared" si="9"/>
        <v>-1298349039.8622022</v>
      </c>
    </row>
    <row r="173" spans="1:9" s="4" customFormat="1" ht="15" customHeight="1" x14ac:dyDescent="0.2">
      <c r="A173" s="2">
        <v>45168</v>
      </c>
      <c r="B173" s="2"/>
      <c r="C173" s="1" t="s">
        <v>378</v>
      </c>
      <c r="D173" s="206">
        <v>184743.92</v>
      </c>
      <c r="E173" s="32">
        <v>2827505695.5999999</v>
      </c>
      <c r="G173" s="32"/>
      <c r="H173" s="24">
        <f t="shared" si="8"/>
        <v>94179.120000000243</v>
      </c>
      <c r="I173" s="25">
        <f t="shared" si="9"/>
        <v>1529156655.7377977</v>
      </c>
    </row>
    <row r="174" spans="1:9" s="4" customFormat="1" ht="15" customHeight="1" x14ac:dyDescent="0.2">
      <c r="A174" s="2">
        <v>45168</v>
      </c>
      <c r="B174" s="1"/>
      <c r="C174" s="1" t="s">
        <v>358</v>
      </c>
      <c r="D174" s="16">
        <v>183793.06</v>
      </c>
      <c r="E174" s="32">
        <v>2812952783.3000002</v>
      </c>
      <c r="G174" s="32"/>
      <c r="H174" s="24">
        <f t="shared" si="8"/>
        <v>277972.18000000023</v>
      </c>
      <c r="I174" s="25">
        <f t="shared" si="9"/>
        <v>4342109439.0377979</v>
      </c>
    </row>
    <row r="175" spans="1:9" s="4" customFormat="1" ht="15" customHeight="1" x14ac:dyDescent="0.2">
      <c r="A175" s="197">
        <v>45169</v>
      </c>
      <c r="C175" s="4" t="s">
        <v>18</v>
      </c>
      <c r="D175" s="3"/>
      <c r="E175" s="32">
        <v>832072.66</v>
      </c>
      <c r="G175" s="32"/>
      <c r="H175" s="156">
        <f t="shared" si="8"/>
        <v>277972.18000000023</v>
      </c>
      <c r="I175" s="157">
        <f t="shared" si="9"/>
        <v>4342941511.6977978</v>
      </c>
    </row>
    <row r="176" spans="1:9" ht="15" customHeight="1" x14ac:dyDescent="0.2">
      <c r="A176" s="2">
        <v>45174</v>
      </c>
      <c r="B176" s="2"/>
      <c r="C176" s="1" t="s">
        <v>379</v>
      </c>
      <c r="F176" s="206">
        <v>162713.92000000001</v>
      </c>
      <c r="G176" s="188">
        <v>2480899138.2399998</v>
      </c>
      <c r="H176" s="3">
        <f t="shared" si="8"/>
        <v>115258.26000000021</v>
      </c>
      <c r="I176" s="4">
        <f t="shared" si="9"/>
        <v>1862042373.457798</v>
      </c>
    </row>
    <row r="177" spans="1:9" ht="15" customHeight="1" x14ac:dyDescent="0.2">
      <c r="A177" s="2">
        <v>45174</v>
      </c>
      <c r="B177" s="2"/>
      <c r="C177" s="1" t="s">
        <v>17</v>
      </c>
      <c r="F177" s="206">
        <v>30</v>
      </c>
      <c r="G177" s="188">
        <v>457410</v>
      </c>
      <c r="H177" s="3">
        <f t="shared" si="8"/>
        <v>115228.26000000021</v>
      </c>
      <c r="I177" s="4">
        <f t="shared" si="9"/>
        <v>1861584963.457798</v>
      </c>
    </row>
    <row r="178" spans="1:9" ht="15" customHeight="1" x14ac:dyDescent="0.2">
      <c r="A178" s="2">
        <v>45174</v>
      </c>
      <c r="B178" s="2"/>
      <c r="C178" s="1" t="s">
        <v>377</v>
      </c>
      <c r="F178" s="204">
        <v>108153.2</v>
      </c>
      <c r="G178" s="188">
        <v>1649011840.4000001</v>
      </c>
      <c r="H178" s="3">
        <f t="shared" si="8"/>
        <v>7075.060000000216</v>
      </c>
      <c r="I178" s="4">
        <f t="shared" si="9"/>
        <v>212573123.05779791</v>
      </c>
    </row>
    <row r="179" spans="1:9" ht="15" customHeight="1" x14ac:dyDescent="0.2">
      <c r="A179" s="2">
        <v>45174</v>
      </c>
      <c r="B179" s="2"/>
      <c r="C179" s="1" t="s">
        <v>17</v>
      </c>
      <c r="F179" s="204">
        <v>30</v>
      </c>
      <c r="G179" s="188">
        <v>457410</v>
      </c>
      <c r="H179" s="3">
        <f t="shared" si="8"/>
        <v>7045.060000000216</v>
      </c>
      <c r="I179" s="4">
        <f t="shared" si="9"/>
        <v>212115713.05779791</v>
      </c>
    </row>
    <row r="180" spans="1:9" ht="15" customHeight="1" x14ac:dyDescent="0.2">
      <c r="A180" s="2">
        <v>45175</v>
      </c>
      <c r="B180" s="2"/>
      <c r="C180" s="1" t="s">
        <v>357</v>
      </c>
      <c r="F180" s="16">
        <v>153763.06</v>
      </c>
      <c r="G180" s="188">
        <v>2346424295.5999999</v>
      </c>
      <c r="H180" s="3">
        <f t="shared" si="8"/>
        <v>-146717.99999999977</v>
      </c>
      <c r="I180" s="4">
        <f t="shared" si="9"/>
        <v>-2134308582.542202</v>
      </c>
    </row>
    <row r="181" spans="1:9" ht="15" customHeight="1" x14ac:dyDescent="0.2">
      <c r="A181" s="2">
        <v>45175</v>
      </c>
      <c r="B181" s="2"/>
      <c r="C181" s="1" t="s">
        <v>17</v>
      </c>
      <c r="F181" s="16">
        <v>30</v>
      </c>
      <c r="G181" s="188">
        <v>457800</v>
      </c>
      <c r="H181" s="3">
        <f t="shared" si="8"/>
        <v>-146747.99999999977</v>
      </c>
      <c r="I181" s="4">
        <f t="shared" si="9"/>
        <v>-2134766382.542202</v>
      </c>
    </row>
    <row r="182" spans="1:9" ht="15" customHeight="1" x14ac:dyDescent="0.2">
      <c r="A182" s="2">
        <v>45177</v>
      </c>
      <c r="C182" s="1" t="s">
        <v>390</v>
      </c>
      <c r="E182" s="4"/>
      <c r="F182" s="17">
        <f>139611.8-30000-18000-30000-30000-10000</f>
        <v>21611.799999999988</v>
      </c>
      <c r="G182" s="32">
        <f>2140807341.2-461490000-276894000-461490000-461490000-153830000</f>
        <v>325613341.20000005</v>
      </c>
      <c r="H182" s="3">
        <f t="shared" si="8"/>
        <v>-168359.79999999976</v>
      </c>
      <c r="I182" s="4">
        <f t="shared" si="9"/>
        <v>-2460379723.7422018</v>
      </c>
    </row>
    <row r="183" spans="1:9" ht="15" customHeight="1" x14ac:dyDescent="0.2">
      <c r="A183" s="2">
        <v>45177</v>
      </c>
      <c r="C183" s="1" t="s">
        <v>418</v>
      </c>
      <c r="E183" s="4"/>
      <c r="F183" s="71">
        <v>10000</v>
      </c>
      <c r="G183" s="32">
        <v>153830000</v>
      </c>
      <c r="H183" s="3">
        <f t="shared" ref="H183:H184" si="10">+H182+D183-F183</f>
        <v>-178359.79999999976</v>
      </c>
      <c r="I183" s="4">
        <f t="shared" ref="I183:I184" si="11">+I182+E183-G183</f>
        <v>-2614209723.7422018</v>
      </c>
    </row>
    <row r="184" spans="1:9" ht="15" customHeight="1" x14ac:dyDescent="0.2">
      <c r="A184" s="2">
        <v>45177</v>
      </c>
      <c r="C184" s="1" t="s">
        <v>408</v>
      </c>
      <c r="E184" s="4"/>
      <c r="F184" s="161">
        <v>30000</v>
      </c>
      <c r="G184" s="32">
        <v>461490000</v>
      </c>
      <c r="H184" s="3">
        <f t="shared" si="10"/>
        <v>-208359.79999999976</v>
      </c>
      <c r="I184" s="4">
        <f t="shared" si="11"/>
        <v>-3075699723.7422018</v>
      </c>
    </row>
    <row r="185" spans="1:9" ht="15" customHeight="1" x14ac:dyDescent="0.2">
      <c r="A185" s="2">
        <v>45177</v>
      </c>
      <c r="C185" s="1" t="s">
        <v>397</v>
      </c>
      <c r="E185" s="4"/>
      <c r="F185" s="66">
        <v>30000</v>
      </c>
      <c r="G185" s="32">
        <v>461490000</v>
      </c>
      <c r="H185" s="3">
        <f t="shared" si="8"/>
        <v>-238359.79999999976</v>
      </c>
      <c r="I185" s="4">
        <f t="shared" si="9"/>
        <v>-3537189723.7422018</v>
      </c>
    </row>
    <row r="186" spans="1:9" ht="15" customHeight="1" x14ac:dyDescent="0.2">
      <c r="A186" s="2">
        <v>45177</v>
      </c>
      <c r="C186" s="1" t="s">
        <v>393</v>
      </c>
      <c r="E186" s="4"/>
      <c r="F186" s="66">
        <v>18000</v>
      </c>
      <c r="G186" s="32">
        <v>276894000</v>
      </c>
      <c r="H186" s="3">
        <f t="shared" si="8"/>
        <v>-256359.79999999976</v>
      </c>
      <c r="I186" s="4">
        <f t="shared" si="9"/>
        <v>-3814083723.7422018</v>
      </c>
    </row>
    <row r="187" spans="1:9" ht="15" customHeight="1" x14ac:dyDescent="0.2">
      <c r="A187" s="2">
        <v>45177</v>
      </c>
      <c r="C187" s="1" t="s">
        <v>389</v>
      </c>
      <c r="E187" s="4"/>
      <c r="F187" s="66">
        <v>30000</v>
      </c>
      <c r="G187" s="32">
        <v>461490000</v>
      </c>
      <c r="H187" s="3">
        <f t="shared" si="8"/>
        <v>-286359.79999999976</v>
      </c>
      <c r="I187" s="4">
        <f t="shared" si="9"/>
        <v>-4275573723.7422018</v>
      </c>
    </row>
    <row r="188" spans="1:9" ht="15" customHeight="1" x14ac:dyDescent="0.2">
      <c r="A188" s="2">
        <v>45177</v>
      </c>
      <c r="C188" s="1" t="s">
        <v>17</v>
      </c>
      <c r="E188" s="4"/>
      <c r="F188" s="17">
        <v>30</v>
      </c>
      <c r="G188" s="4">
        <v>460020</v>
      </c>
      <c r="H188" s="3">
        <f t="shared" si="8"/>
        <v>-286389.79999999976</v>
      </c>
      <c r="I188" s="4">
        <f t="shared" si="9"/>
        <v>-4276033743.7422018</v>
      </c>
    </row>
    <row r="189" spans="1:9" ht="15" customHeight="1" x14ac:dyDescent="0.2">
      <c r="A189" s="2">
        <v>45181</v>
      </c>
      <c r="C189" s="1" t="s">
        <v>420</v>
      </c>
      <c r="D189" s="17"/>
      <c r="F189" s="71">
        <f>73453.2-30000-20000-10000</f>
        <v>13453.199999999997</v>
      </c>
      <c r="G189" s="32">
        <f>1127653526.4-460560000-307040000-153520000</f>
        <v>206533526.4000001</v>
      </c>
      <c r="H189" s="3">
        <f t="shared" si="8"/>
        <v>-299842.99999999977</v>
      </c>
      <c r="I189" s="4">
        <f t="shared" si="9"/>
        <v>-4482567270.1422024</v>
      </c>
    </row>
    <row r="190" spans="1:9" ht="15" customHeight="1" x14ac:dyDescent="0.2">
      <c r="A190" s="2">
        <v>45181</v>
      </c>
      <c r="C190" s="1" t="s">
        <v>418</v>
      </c>
      <c r="D190" s="17"/>
      <c r="F190" s="71">
        <v>10000</v>
      </c>
      <c r="G190" s="32">
        <v>153520000</v>
      </c>
      <c r="H190" s="3">
        <f t="shared" ref="H190:H191" si="12">+H189+D190-F190</f>
        <v>-309842.99999999977</v>
      </c>
      <c r="I190" s="4">
        <f t="shared" ref="I190:I191" si="13">+I189+E190-G190</f>
        <v>-4636087270.1422024</v>
      </c>
    </row>
    <row r="191" spans="1:9" ht="15" customHeight="1" x14ac:dyDescent="0.2">
      <c r="A191" s="2">
        <v>45181</v>
      </c>
      <c r="C191" s="1" t="s">
        <v>416</v>
      </c>
      <c r="D191" s="17"/>
      <c r="F191" s="71">
        <v>20000</v>
      </c>
      <c r="G191" s="32">
        <v>307040000</v>
      </c>
      <c r="H191" s="3">
        <f t="shared" si="12"/>
        <v>-329842.99999999977</v>
      </c>
      <c r="I191" s="4">
        <f t="shared" si="13"/>
        <v>-4943127270.1422024</v>
      </c>
    </row>
    <row r="192" spans="1:9" ht="15" customHeight="1" x14ac:dyDescent="0.2">
      <c r="A192" s="2">
        <v>45181</v>
      </c>
      <c r="C192" s="1" t="s">
        <v>413</v>
      </c>
      <c r="D192" s="17"/>
      <c r="F192" s="198">
        <v>30000</v>
      </c>
      <c r="G192" s="32">
        <v>460560000</v>
      </c>
      <c r="H192" s="3">
        <f t="shared" ref="H192" si="14">+H191+D192-F192</f>
        <v>-359842.99999999977</v>
      </c>
      <c r="I192" s="4">
        <f t="shared" ref="I192" si="15">+I191+E192-G192</f>
        <v>-5403687270.1422024</v>
      </c>
    </row>
    <row r="193" spans="1:9" ht="15" customHeight="1" x14ac:dyDescent="0.2">
      <c r="A193" s="2">
        <v>45181</v>
      </c>
      <c r="C193" s="1" t="s">
        <v>17</v>
      </c>
      <c r="D193" s="17"/>
      <c r="F193" s="71">
        <v>30</v>
      </c>
      <c r="G193" s="32">
        <v>460560</v>
      </c>
      <c r="H193" s="3">
        <f t="shared" ref="H193" si="16">+H192+D193-F193</f>
        <v>-359872.99999999977</v>
      </c>
      <c r="I193" s="4">
        <f t="shared" ref="I193" si="17">+I192+E193-G193</f>
        <v>-5404147830.1422024</v>
      </c>
    </row>
    <row r="194" spans="1:9" s="4" customFormat="1" ht="15" customHeight="1" x14ac:dyDescent="0.2">
      <c r="A194" s="2">
        <v>45190</v>
      </c>
      <c r="B194" s="2"/>
      <c r="C194" s="1" t="s">
        <v>388</v>
      </c>
      <c r="D194" s="66">
        <v>187862.76</v>
      </c>
      <c r="E194" s="32">
        <v>2885196268.0799999</v>
      </c>
      <c r="G194" s="32"/>
      <c r="H194" s="3">
        <f t="shared" si="8"/>
        <v>-172010.23999999976</v>
      </c>
      <c r="I194" s="4">
        <f t="shared" si="9"/>
        <v>-2518951562.0622025</v>
      </c>
    </row>
    <row r="195" spans="1:9" ht="15" customHeight="1" x14ac:dyDescent="0.2">
      <c r="A195" s="2">
        <v>45191</v>
      </c>
      <c r="B195" s="2"/>
      <c r="C195" s="1" t="s">
        <v>392</v>
      </c>
      <c r="D195" s="66">
        <v>186867.86</v>
      </c>
      <c r="E195" s="32">
        <v>2869916593.8800001</v>
      </c>
      <c r="H195" s="3">
        <f t="shared" si="8"/>
        <v>14857.620000000228</v>
      </c>
      <c r="I195" s="4">
        <f t="shared" si="9"/>
        <v>350965031.81779766</v>
      </c>
    </row>
    <row r="196" spans="1:9" ht="15" customHeight="1" x14ac:dyDescent="0.2">
      <c r="A196" s="2">
        <v>45191</v>
      </c>
      <c r="B196" s="2"/>
      <c r="C196" s="1" t="s">
        <v>393</v>
      </c>
      <c r="F196" s="66">
        <v>155877.85999999999</v>
      </c>
      <c r="G196" s="32">
        <v>2400051410.4200001</v>
      </c>
      <c r="H196" s="3">
        <f t="shared" si="8"/>
        <v>-141020.23999999976</v>
      </c>
      <c r="I196" s="4">
        <f t="shared" si="9"/>
        <v>-2049086378.6022024</v>
      </c>
    </row>
    <row r="197" spans="1:9" ht="15" customHeight="1" x14ac:dyDescent="0.2">
      <c r="A197" s="2">
        <v>45191</v>
      </c>
      <c r="B197" s="2"/>
      <c r="C197" s="1" t="s">
        <v>17</v>
      </c>
      <c r="F197" s="66">
        <v>30</v>
      </c>
      <c r="G197" s="32">
        <v>461910</v>
      </c>
      <c r="H197" s="3">
        <f t="shared" si="8"/>
        <v>-141050.23999999976</v>
      </c>
      <c r="I197" s="4">
        <f t="shared" si="9"/>
        <v>-2049548288.6022024</v>
      </c>
    </row>
    <row r="198" spans="1:9" ht="15" customHeight="1" x14ac:dyDescent="0.2">
      <c r="A198" s="2">
        <v>45194</v>
      </c>
      <c r="B198" s="2"/>
      <c r="C198" s="1" t="s">
        <v>389</v>
      </c>
      <c r="F198" s="66">
        <v>157832.76</v>
      </c>
      <c r="G198" s="32">
        <v>2427941347.0799999</v>
      </c>
      <c r="H198" s="3">
        <f t="shared" ref="H198:H213" si="18">+H197+D198-F198</f>
        <v>-298882.99999999977</v>
      </c>
      <c r="I198" s="4">
        <f t="shared" ref="I198:I213" si="19">+I197+E198-G198</f>
        <v>-4477489635.6822023</v>
      </c>
    </row>
    <row r="199" spans="1:9" ht="15" customHeight="1" x14ac:dyDescent="0.2">
      <c r="A199" s="2">
        <v>45194</v>
      </c>
      <c r="B199" s="2"/>
      <c r="C199" s="1" t="s">
        <v>17</v>
      </c>
      <c r="F199" s="66">
        <v>30</v>
      </c>
      <c r="G199" s="32">
        <v>461490</v>
      </c>
      <c r="H199" s="3">
        <f t="shared" si="18"/>
        <v>-298912.99999999977</v>
      </c>
      <c r="I199" s="4">
        <f t="shared" si="19"/>
        <v>-4477951125.6822023</v>
      </c>
    </row>
    <row r="200" spans="1:9" ht="15" customHeight="1" x14ac:dyDescent="0.2">
      <c r="A200" s="2">
        <v>45196</v>
      </c>
      <c r="B200" s="2"/>
      <c r="C200" s="1" t="s">
        <v>396</v>
      </c>
      <c r="D200" s="66">
        <v>181901.84</v>
      </c>
      <c r="E200" s="32">
        <v>2798741710.2399998</v>
      </c>
      <c r="H200" s="3">
        <f t="shared" si="18"/>
        <v>-117011.15999999977</v>
      </c>
      <c r="I200" s="4">
        <f t="shared" si="19"/>
        <v>-1679209415.4422026</v>
      </c>
    </row>
    <row r="201" spans="1:9" ht="15" customHeight="1" x14ac:dyDescent="0.2">
      <c r="A201" s="2">
        <v>45196</v>
      </c>
      <c r="B201" s="2"/>
      <c r="C201" s="1" t="s">
        <v>397</v>
      </c>
      <c r="F201" s="66">
        <v>151871.84</v>
      </c>
      <c r="G201" s="32">
        <v>2348546133.7600002</v>
      </c>
      <c r="H201" s="3">
        <f t="shared" si="18"/>
        <v>-268882.99999999977</v>
      </c>
      <c r="I201" s="4">
        <f t="shared" si="19"/>
        <v>-4027755549.2022028</v>
      </c>
    </row>
    <row r="202" spans="1:9" ht="15" customHeight="1" x14ac:dyDescent="0.2">
      <c r="A202" s="2">
        <v>45196</v>
      </c>
      <c r="B202" s="2"/>
      <c r="C202" s="1" t="s">
        <v>17</v>
      </c>
      <c r="F202" s="66">
        <v>30</v>
      </c>
      <c r="G202" s="32">
        <v>463920</v>
      </c>
      <c r="H202" s="3">
        <f t="shared" si="18"/>
        <v>-268912.99999999977</v>
      </c>
      <c r="I202" s="4">
        <f t="shared" si="19"/>
        <v>-4028219469.2022028</v>
      </c>
    </row>
    <row r="203" spans="1:9" ht="15" customHeight="1" x14ac:dyDescent="0.2">
      <c r="A203" s="2">
        <v>45199</v>
      </c>
      <c r="C203" s="1" t="s">
        <v>18</v>
      </c>
      <c r="D203" s="17"/>
      <c r="F203" s="17"/>
      <c r="G203" s="32">
        <v>5052256</v>
      </c>
      <c r="H203" s="6">
        <f t="shared" si="18"/>
        <v>-268912.99999999977</v>
      </c>
      <c r="I203" s="7">
        <f t="shared" si="19"/>
        <v>-4033271725.2022028</v>
      </c>
    </row>
    <row r="204" spans="1:9" ht="15" customHeight="1" x14ac:dyDescent="0.2">
      <c r="A204" s="2">
        <v>45203</v>
      </c>
      <c r="C204" s="1" t="s">
        <v>447</v>
      </c>
      <c r="D204" s="17"/>
      <c r="F204" s="16">
        <f>63927.6-10000-20000-10000-10000</f>
        <v>13927.599999999999</v>
      </c>
      <c r="G204" s="32">
        <f>997270560-156000000-312000000-156000000-156000000</f>
        <v>217270560</v>
      </c>
      <c r="H204" s="3">
        <f t="shared" si="18"/>
        <v>-282840.59999999974</v>
      </c>
      <c r="I204" s="4">
        <f t="shared" si="19"/>
        <v>-4250542285.2022028</v>
      </c>
    </row>
    <row r="205" spans="1:9" ht="15" customHeight="1" x14ac:dyDescent="0.2">
      <c r="A205" s="2">
        <v>45203</v>
      </c>
      <c r="C205" s="1" t="s">
        <v>434</v>
      </c>
      <c r="D205" s="17"/>
      <c r="F205" s="71">
        <v>10000</v>
      </c>
      <c r="G205" s="32">
        <v>156000000</v>
      </c>
      <c r="H205" s="3">
        <f t="shared" ref="H205:H206" si="20">+H204+D205-F205</f>
        <v>-292840.59999999974</v>
      </c>
      <c r="I205" s="4">
        <f t="shared" ref="I205:I206" si="21">+I204+E205-G205</f>
        <v>-4406542285.2022028</v>
      </c>
    </row>
    <row r="206" spans="1:9" ht="15" customHeight="1" x14ac:dyDescent="0.2">
      <c r="A206" s="2">
        <v>45203</v>
      </c>
      <c r="C206" s="1" t="s">
        <v>420</v>
      </c>
      <c r="D206" s="17"/>
      <c r="F206" s="71">
        <v>10000</v>
      </c>
      <c r="G206" s="32">
        <v>156000000</v>
      </c>
      <c r="H206" s="3">
        <f t="shared" si="20"/>
        <v>-302840.59999999974</v>
      </c>
      <c r="I206" s="4">
        <f t="shared" si="21"/>
        <v>-4562542285.2022028</v>
      </c>
    </row>
    <row r="207" spans="1:9" ht="15" customHeight="1" x14ac:dyDescent="0.2">
      <c r="A207" s="2">
        <v>45203</v>
      </c>
      <c r="C207" s="1" t="s">
        <v>418</v>
      </c>
      <c r="D207" s="17"/>
      <c r="F207" s="71">
        <v>20000</v>
      </c>
      <c r="G207" s="32">
        <v>312000000</v>
      </c>
      <c r="H207" s="3">
        <f t="shared" ref="H207" si="22">+H206+D207-F207</f>
        <v>-322840.59999999974</v>
      </c>
      <c r="I207" s="4">
        <f t="shared" ref="I207" si="23">+I206+E207-G207</f>
        <v>-4874542285.2022028</v>
      </c>
    </row>
    <row r="208" spans="1:9" ht="15" customHeight="1" x14ac:dyDescent="0.2">
      <c r="A208" s="2">
        <v>45203</v>
      </c>
      <c r="C208" s="1" t="s">
        <v>416</v>
      </c>
      <c r="D208" s="17"/>
      <c r="F208" s="71">
        <v>10000</v>
      </c>
      <c r="G208" s="32">
        <v>156000000</v>
      </c>
      <c r="H208" s="3">
        <f t="shared" ref="H208" si="24">+H207+D208-F208</f>
        <v>-332840.59999999974</v>
      </c>
      <c r="I208" s="4">
        <f t="shared" ref="I208" si="25">+I207+E208-G208</f>
        <v>-5030542285.2022028</v>
      </c>
    </row>
    <row r="209" spans="1:11" ht="15" customHeight="1" x14ac:dyDescent="0.2">
      <c r="A209" s="2">
        <v>45203</v>
      </c>
      <c r="C209" s="1" t="s">
        <v>17</v>
      </c>
      <c r="D209" s="17"/>
      <c r="F209" s="16">
        <v>30</v>
      </c>
      <c r="G209" s="32">
        <v>468000</v>
      </c>
      <c r="H209" s="3">
        <f t="shared" ref="H209" si="26">+H208+D209-F209</f>
        <v>-332870.59999999974</v>
      </c>
      <c r="I209" s="4">
        <f t="shared" ref="I209" si="27">+I208+E209-G209</f>
        <v>-5031010285.2022028</v>
      </c>
    </row>
    <row r="210" spans="1:11" ht="15" customHeight="1" x14ac:dyDescent="0.2">
      <c r="A210" s="2">
        <v>45222</v>
      </c>
      <c r="C210" s="1" t="s">
        <v>404</v>
      </c>
      <c r="D210" s="161">
        <v>183805.93</v>
      </c>
      <c r="E210" s="32">
        <v>2885936906.9299998</v>
      </c>
      <c r="F210" s="17"/>
      <c r="G210" s="32"/>
      <c r="H210" s="3">
        <f t="shared" si="18"/>
        <v>-149064.66999999975</v>
      </c>
      <c r="I210" s="4">
        <f t="shared" si="19"/>
        <v>-2145073378.272203</v>
      </c>
    </row>
    <row r="211" spans="1:11" ht="15" customHeight="1" x14ac:dyDescent="0.2">
      <c r="A211" s="2">
        <v>45223</v>
      </c>
      <c r="B211" s="2"/>
      <c r="C211" s="1" t="s">
        <v>408</v>
      </c>
      <c r="F211" s="161">
        <v>153805.93</v>
      </c>
      <c r="G211" s="32">
        <v>2452127941.9899998</v>
      </c>
      <c r="H211" s="3">
        <f t="shared" si="18"/>
        <v>-302870.59999999974</v>
      </c>
      <c r="I211" s="4">
        <f t="shared" si="19"/>
        <v>-4597201320.2622032</v>
      </c>
    </row>
    <row r="212" spans="1:11" ht="15" customHeight="1" x14ac:dyDescent="0.2">
      <c r="A212" s="2">
        <v>45223</v>
      </c>
      <c r="C212" s="1" t="s">
        <v>420</v>
      </c>
      <c r="D212" s="17"/>
      <c r="F212" s="71">
        <v>12310.8</v>
      </c>
      <c r="G212" s="32">
        <v>196271084.40000001</v>
      </c>
      <c r="H212" s="3">
        <f t="shared" si="18"/>
        <v>-315181.39999999973</v>
      </c>
      <c r="I212" s="4">
        <f t="shared" si="19"/>
        <v>-4793472404.6622028</v>
      </c>
    </row>
    <row r="213" spans="1:11" ht="15" customHeight="1" x14ac:dyDescent="0.2">
      <c r="A213" s="2">
        <v>45223</v>
      </c>
      <c r="B213" s="2"/>
      <c r="C213" s="1" t="s">
        <v>17</v>
      </c>
      <c r="F213" s="71">
        <v>30</v>
      </c>
      <c r="G213" s="32">
        <v>478290</v>
      </c>
      <c r="H213" s="3">
        <f t="shared" si="18"/>
        <v>-315211.39999999973</v>
      </c>
      <c r="I213" s="4">
        <f t="shared" si="19"/>
        <v>-4793950694.6622028</v>
      </c>
    </row>
    <row r="214" spans="1:11" ht="15" customHeight="1" x14ac:dyDescent="0.2">
      <c r="A214" s="2">
        <v>45230</v>
      </c>
      <c r="B214" s="2"/>
      <c r="C214" s="1" t="s">
        <v>412</v>
      </c>
      <c r="D214" s="217">
        <v>185718.76</v>
      </c>
      <c r="E214" s="32">
        <v>2929156282.7199998</v>
      </c>
      <c r="F214" s="17"/>
      <c r="G214" s="32"/>
      <c r="H214" s="3">
        <f t="shared" ref="H214:H215" si="28">+H213+D214-F214</f>
        <v>-129492.63999999972</v>
      </c>
      <c r="I214" s="4">
        <f t="shared" ref="I214:I215" si="29">+I213+E214-G214</f>
        <v>-1864794411.942203</v>
      </c>
    </row>
    <row r="215" spans="1:11" ht="15" customHeight="1" x14ac:dyDescent="0.2">
      <c r="A215" s="2">
        <v>45230</v>
      </c>
      <c r="C215" s="1" t="s">
        <v>18</v>
      </c>
      <c r="D215" s="17"/>
      <c r="E215" s="32">
        <f>27681035.06-12600000</f>
        <v>15081035.059999999</v>
      </c>
      <c r="F215" s="17"/>
      <c r="G215" s="32"/>
      <c r="H215" s="6">
        <f t="shared" si="28"/>
        <v>-129492.63999999972</v>
      </c>
      <c r="I215" s="7">
        <f t="shared" si="29"/>
        <v>-1849713376.8822031</v>
      </c>
    </row>
    <row r="216" spans="1:11" ht="15" customHeight="1" x14ac:dyDescent="0.2">
      <c r="A216" s="2">
        <v>45231</v>
      </c>
      <c r="B216" s="2"/>
      <c r="C216" s="1" t="s">
        <v>421</v>
      </c>
      <c r="D216" s="71">
        <v>186274.09</v>
      </c>
      <c r="E216" s="32">
        <v>2963993320.0799999</v>
      </c>
      <c r="H216" s="3">
        <f t="shared" ref="H216" si="30">+H215+D216-F216</f>
        <v>56781.450000000274</v>
      </c>
      <c r="I216" s="4">
        <f t="shared" ref="I216" si="31">+I215+E216-G216</f>
        <v>1114279943.1977968</v>
      </c>
    </row>
    <row r="217" spans="1:11" ht="15" customHeight="1" x14ac:dyDescent="0.2">
      <c r="A217" s="2">
        <v>45231</v>
      </c>
      <c r="B217" s="2"/>
      <c r="C217" s="1" t="s">
        <v>413</v>
      </c>
      <c r="F217" s="198">
        <v>155688.76</v>
      </c>
      <c r="G217" s="32">
        <v>2474984217.7199998</v>
      </c>
      <c r="H217" s="3">
        <f t="shared" ref="H217:H219" si="32">+H216+D217-F217</f>
        <v>-98907.309999999736</v>
      </c>
      <c r="I217" s="4">
        <f t="shared" ref="I217:I219" si="33">+I216+E217-G217</f>
        <v>-1360704274.522203</v>
      </c>
      <c r="J217" s="1"/>
      <c r="K217" s="1"/>
    </row>
    <row r="218" spans="1:11" ht="15" customHeight="1" x14ac:dyDescent="0.2">
      <c r="A218" s="2">
        <v>45231</v>
      </c>
      <c r="B218" s="2"/>
      <c r="C218" s="1" t="s">
        <v>17</v>
      </c>
      <c r="F218" s="198">
        <v>30</v>
      </c>
      <c r="G218" s="32">
        <v>476910</v>
      </c>
      <c r="H218" s="3">
        <f t="shared" si="32"/>
        <v>-98937.309999999736</v>
      </c>
      <c r="I218" s="4">
        <f t="shared" si="33"/>
        <v>-1361181184.522203</v>
      </c>
      <c r="J218" s="1"/>
      <c r="K218" s="1"/>
    </row>
    <row r="219" spans="1:11" ht="15" customHeight="1" x14ac:dyDescent="0.2">
      <c r="A219" s="2">
        <v>45236</v>
      </c>
      <c r="B219" s="2"/>
      <c r="C219" s="1" t="s">
        <v>416</v>
      </c>
      <c r="F219" s="71">
        <v>156244.09</v>
      </c>
      <c r="G219" s="32">
        <v>2464125543.3899999</v>
      </c>
      <c r="H219" s="3">
        <f t="shared" si="32"/>
        <v>-255181.39999999973</v>
      </c>
      <c r="I219" s="4">
        <f t="shared" si="33"/>
        <v>-3825306727.9122028</v>
      </c>
    </row>
    <row r="220" spans="1:11" ht="15" customHeight="1" x14ac:dyDescent="0.2">
      <c r="A220" s="2">
        <v>45236</v>
      </c>
      <c r="B220" s="2"/>
      <c r="C220" s="1" t="s">
        <v>17</v>
      </c>
      <c r="F220" s="71">
        <v>30</v>
      </c>
      <c r="G220" s="32">
        <v>473130</v>
      </c>
      <c r="H220" s="3">
        <f t="shared" ref="H220" si="34">+H219+D220-F220</f>
        <v>-255211.39999999973</v>
      </c>
      <c r="I220" s="4">
        <f t="shared" ref="I220" si="35">+I219+E220-G220</f>
        <v>-3825779857.9122028</v>
      </c>
    </row>
    <row r="221" spans="1:11" ht="15" customHeight="1" x14ac:dyDescent="0.2">
      <c r="A221" s="2">
        <v>45243</v>
      </c>
      <c r="C221" s="1" t="s">
        <v>439</v>
      </c>
      <c r="D221" s="3">
        <v>133788</v>
      </c>
      <c r="E221" s="32">
        <v>1997384560.4000001</v>
      </c>
      <c r="H221" s="3">
        <f t="shared" ref="H221" si="36">+H220+D221-F221</f>
        <v>-121423.39999999973</v>
      </c>
      <c r="I221" s="4">
        <f t="shared" ref="I221" si="37">+I220+E221-G221</f>
        <v>-1828395297.5122027</v>
      </c>
    </row>
    <row r="222" spans="1:11" ht="15" customHeight="1" x14ac:dyDescent="0.2">
      <c r="A222" s="2">
        <v>45243</v>
      </c>
      <c r="C222" s="1" t="s">
        <v>440</v>
      </c>
      <c r="F222" s="3">
        <f>133788-20000-10000-30000</f>
        <v>73788</v>
      </c>
      <c r="G222" s="32">
        <f>1997384560.4-298589493.884-149294746.94-447884240.83</f>
        <v>1101616078.7460001</v>
      </c>
      <c r="H222" s="3">
        <f t="shared" ref="H222" si="38">+H221+D222-F222</f>
        <v>-195211.39999999973</v>
      </c>
      <c r="I222" s="4">
        <f t="shared" ref="I222" si="39">+I221+E222-G222</f>
        <v>-2930011376.2582026</v>
      </c>
    </row>
    <row r="223" spans="1:11" ht="15" customHeight="1" x14ac:dyDescent="0.2">
      <c r="A223" s="2">
        <v>45243</v>
      </c>
      <c r="C223" s="1" t="s">
        <v>449</v>
      </c>
      <c r="F223" s="16">
        <v>30000</v>
      </c>
      <c r="G223" s="32">
        <v>447884240.82999998</v>
      </c>
      <c r="H223" s="3">
        <f t="shared" ref="H223:H225" si="40">+H222+D223-F223</f>
        <v>-225211.39999999973</v>
      </c>
      <c r="I223" s="4">
        <f t="shared" ref="I223:I225" si="41">+I222+E223-G223</f>
        <v>-3377895617.0882025</v>
      </c>
    </row>
    <row r="224" spans="1:11" ht="15" customHeight="1" x14ac:dyDescent="0.2">
      <c r="A224" s="2">
        <v>45243</v>
      </c>
      <c r="C224" s="1" t="s">
        <v>447</v>
      </c>
      <c r="F224" s="16">
        <v>10000</v>
      </c>
      <c r="G224" s="32">
        <v>149294746.94</v>
      </c>
      <c r="H224" s="3">
        <f t="shared" si="40"/>
        <v>-235211.39999999973</v>
      </c>
      <c r="I224" s="4">
        <f t="shared" si="41"/>
        <v>-3527190364.0282025</v>
      </c>
    </row>
    <row r="225" spans="1:9" ht="15" customHeight="1" x14ac:dyDescent="0.2">
      <c r="A225" s="2">
        <v>45243</v>
      </c>
      <c r="C225" s="1" t="s">
        <v>434</v>
      </c>
      <c r="F225" s="71">
        <v>20000</v>
      </c>
      <c r="G225" s="32">
        <v>298589493.884</v>
      </c>
      <c r="H225" s="3">
        <f t="shared" si="40"/>
        <v>-255211.39999999973</v>
      </c>
      <c r="I225" s="4">
        <f t="shared" si="41"/>
        <v>-3825779857.9122024</v>
      </c>
    </row>
    <row r="226" spans="1:9" ht="15" customHeight="1" x14ac:dyDescent="0.2">
      <c r="A226" s="2">
        <v>45254</v>
      </c>
      <c r="B226" s="2"/>
      <c r="C226" s="1" t="s">
        <v>426</v>
      </c>
      <c r="D226" s="71">
        <v>185076.34</v>
      </c>
      <c r="E226" s="32">
        <v>2887746133.02</v>
      </c>
      <c r="F226" s="17"/>
      <c r="G226" s="32"/>
      <c r="H226" s="3">
        <f t="shared" ref="H226" si="42">+H225+D226-F226</f>
        <v>-70135.059999999736</v>
      </c>
      <c r="I226" s="4">
        <f t="shared" ref="I226" si="43">+I225+E226-G226</f>
        <v>-938033724.89220238</v>
      </c>
    </row>
    <row r="227" spans="1:9" ht="15" customHeight="1" x14ac:dyDescent="0.2">
      <c r="A227" s="2">
        <v>45252</v>
      </c>
      <c r="B227" s="2"/>
      <c r="C227" s="1" t="s">
        <v>418</v>
      </c>
      <c r="F227" s="71">
        <v>145046.34</v>
      </c>
      <c r="G227" s="32">
        <v>2238935304.2399998</v>
      </c>
      <c r="H227" s="3">
        <f t="shared" ref="H227:H229" si="44">+H226+D227-F227</f>
        <v>-215181.39999999973</v>
      </c>
      <c r="I227" s="4">
        <f t="shared" ref="I227:I229" si="45">+I226+E227-G227</f>
        <v>-3176969029.1322021</v>
      </c>
    </row>
    <row r="228" spans="1:9" ht="15" customHeight="1" x14ac:dyDescent="0.2">
      <c r="A228" s="2">
        <v>45252</v>
      </c>
      <c r="B228" s="2"/>
      <c r="C228" s="1" t="s">
        <v>17</v>
      </c>
      <c r="F228" s="71">
        <v>30</v>
      </c>
      <c r="G228" s="32">
        <v>463080</v>
      </c>
      <c r="H228" s="3">
        <f t="shared" si="44"/>
        <v>-215211.39999999973</v>
      </c>
      <c r="I228" s="4">
        <f t="shared" si="45"/>
        <v>-3177432109.1322021</v>
      </c>
    </row>
    <row r="229" spans="1:9" ht="15" customHeight="1" x14ac:dyDescent="0.2">
      <c r="A229" s="2">
        <v>45254</v>
      </c>
      <c r="B229" s="2"/>
      <c r="C229" s="1" t="s">
        <v>427</v>
      </c>
      <c r="D229" s="71">
        <v>186298.26</v>
      </c>
      <c r="E229" s="32">
        <v>2906811750.7800002</v>
      </c>
      <c r="F229" s="17"/>
      <c r="G229" s="32"/>
      <c r="H229" s="3">
        <f t="shared" si="44"/>
        <v>-28913.139999999723</v>
      </c>
      <c r="I229" s="4">
        <f t="shared" si="45"/>
        <v>-270620358.35220194</v>
      </c>
    </row>
    <row r="230" spans="1:9" ht="15" customHeight="1" x14ac:dyDescent="0.2">
      <c r="A230" s="2">
        <v>45257</v>
      </c>
      <c r="B230" s="2"/>
      <c r="C230" s="1" t="s">
        <v>420</v>
      </c>
      <c r="F230" s="71">
        <v>150444.26</v>
      </c>
      <c r="G230" s="32">
        <v>2344974680.6199999</v>
      </c>
      <c r="H230" s="3">
        <f t="shared" ref="H230:H231" si="46">+H229+D230-F230</f>
        <v>-179357.39999999973</v>
      </c>
      <c r="I230" s="4">
        <f t="shared" ref="I230:I231" si="47">+I229+E230-G230</f>
        <v>-2615595038.9722018</v>
      </c>
    </row>
    <row r="231" spans="1:9" ht="15" customHeight="1" x14ac:dyDescent="0.2">
      <c r="A231" s="2">
        <v>45257</v>
      </c>
      <c r="B231" s="2"/>
      <c r="C231" s="1" t="s">
        <v>17</v>
      </c>
      <c r="F231" s="71">
        <v>30</v>
      </c>
      <c r="G231" s="32">
        <v>467610</v>
      </c>
      <c r="H231" s="3">
        <f t="shared" si="46"/>
        <v>-179387.39999999973</v>
      </c>
      <c r="I231" s="4">
        <f t="shared" si="47"/>
        <v>-2616062648.9722018</v>
      </c>
    </row>
    <row r="232" spans="1:9" ht="15" customHeight="1" x14ac:dyDescent="0.2">
      <c r="A232" s="2">
        <v>45259</v>
      </c>
      <c r="B232" s="2"/>
      <c r="C232" s="1" t="s">
        <v>434</v>
      </c>
      <c r="F232" s="71">
        <v>92054.78</v>
      </c>
      <c r="G232" s="32">
        <v>1422246351</v>
      </c>
      <c r="H232" s="3">
        <f t="shared" ref="H232:H234" si="48">+H231+D232-F232</f>
        <v>-271442.1799999997</v>
      </c>
      <c r="I232" s="4">
        <f t="shared" ref="I232:I234" si="49">+I231+E232-G232</f>
        <v>-4038308999.9722018</v>
      </c>
    </row>
    <row r="233" spans="1:9" ht="15" customHeight="1" x14ac:dyDescent="0.2">
      <c r="A233" s="2">
        <v>45259</v>
      </c>
      <c r="B233" s="2"/>
      <c r="C233" s="1" t="s">
        <v>17</v>
      </c>
      <c r="F233" s="71">
        <v>30</v>
      </c>
      <c r="G233" s="32">
        <v>463500</v>
      </c>
      <c r="H233" s="3">
        <f t="shared" si="48"/>
        <v>-271472.1799999997</v>
      </c>
      <c r="I233" s="4">
        <f t="shared" si="49"/>
        <v>-4038772499.9722018</v>
      </c>
    </row>
    <row r="234" spans="1:9" ht="15" customHeight="1" x14ac:dyDescent="0.2">
      <c r="A234" s="2">
        <v>45260</v>
      </c>
      <c r="B234" s="2"/>
      <c r="C234" s="1" t="s">
        <v>430</v>
      </c>
      <c r="D234" s="71">
        <v>122084.78</v>
      </c>
      <c r="E234" s="32">
        <v>1895244124.72</v>
      </c>
      <c r="F234" s="17"/>
      <c r="G234" s="32"/>
      <c r="H234" s="3">
        <f t="shared" si="48"/>
        <v>-149387.3999999997</v>
      </c>
      <c r="I234" s="4">
        <f t="shared" si="49"/>
        <v>-2143528375.2522018</v>
      </c>
    </row>
    <row r="235" spans="1:9" ht="15" customHeight="1" x14ac:dyDescent="0.2">
      <c r="A235" s="2">
        <v>45260</v>
      </c>
      <c r="C235" s="1" t="s">
        <v>18</v>
      </c>
      <c r="G235" s="151">
        <f>84923174.6660004-19464845</f>
        <v>65458329.666000396</v>
      </c>
      <c r="H235" s="6">
        <f t="shared" ref="H235" si="50">+H234+D235-F235</f>
        <v>-149387.3999999997</v>
      </c>
      <c r="I235" s="7">
        <f t="shared" ref="I235" si="51">+I234+E235-G235</f>
        <v>-2208986704.9182024</v>
      </c>
    </row>
    <row r="236" spans="1:9" ht="15" customHeight="1" x14ac:dyDescent="0.2">
      <c r="A236" s="2">
        <v>45278</v>
      </c>
      <c r="B236" s="2"/>
      <c r="C236" s="1" t="s">
        <v>443</v>
      </c>
      <c r="D236" s="16">
        <v>122509.27</v>
      </c>
      <c r="E236" s="32">
        <v>1898648666.46</v>
      </c>
      <c r="H236" s="3">
        <f t="shared" ref="H236:I242" si="52">+H235+D236-F236</f>
        <v>-26878.129999999699</v>
      </c>
      <c r="I236" s="4">
        <f t="shared" si="52"/>
        <v>-310338038.45820236</v>
      </c>
    </row>
    <row r="237" spans="1:9" ht="15" customHeight="1" x14ac:dyDescent="0.2">
      <c r="A237" s="2">
        <v>45278</v>
      </c>
      <c r="B237" s="2"/>
      <c r="C237" s="1" t="s">
        <v>447</v>
      </c>
      <c r="F237" s="16">
        <v>98521.67</v>
      </c>
      <c r="G237" s="32">
        <v>1527381450.01</v>
      </c>
      <c r="H237" s="3">
        <f t="shared" si="52"/>
        <v>-125399.7999999997</v>
      </c>
      <c r="I237" s="4">
        <f t="shared" si="52"/>
        <v>-1837719488.4682024</v>
      </c>
    </row>
    <row r="238" spans="1:9" ht="15" customHeight="1" x14ac:dyDescent="0.2">
      <c r="A238" s="2">
        <v>45278</v>
      </c>
      <c r="B238" s="2"/>
      <c r="C238" s="1" t="s">
        <v>17</v>
      </c>
      <c r="F238" s="16">
        <v>30</v>
      </c>
      <c r="G238" s="32">
        <v>465090</v>
      </c>
      <c r="H238" s="3">
        <f t="shared" si="52"/>
        <v>-125429.7999999997</v>
      </c>
      <c r="I238" s="4">
        <f t="shared" si="52"/>
        <v>-1838184578.4682024</v>
      </c>
    </row>
    <row r="239" spans="1:9" ht="15" customHeight="1" x14ac:dyDescent="0.2">
      <c r="A239" s="2">
        <v>45281</v>
      </c>
      <c r="B239" s="2"/>
      <c r="C239" s="1" t="s">
        <v>449</v>
      </c>
      <c r="F239" s="16">
        <v>99840.87</v>
      </c>
      <c r="G239" s="32">
        <v>1548731575.4400001</v>
      </c>
      <c r="H239" s="3">
        <f t="shared" si="52"/>
        <v>-225270.66999999969</v>
      </c>
      <c r="I239" s="4">
        <f t="shared" si="52"/>
        <v>-3386916153.9082022</v>
      </c>
    </row>
    <row r="240" spans="1:9" ht="15" customHeight="1" x14ac:dyDescent="0.2">
      <c r="A240" s="2">
        <v>45281</v>
      </c>
      <c r="B240" s="2"/>
      <c r="C240" s="1" t="s">
        <v>17</v>
      </c>
      <c r="F240" s="16">
        <v>30</v>
      </c>
      <c r="G240" s="32">
        <v>465360</v>
      </c>
      <c r="H240" s="3">
        <f t="shared" si="52"/>
        <v>-225300.66999999969</v>
      </c>
      <c r="I240" s="4">
        <f t="shared" si="52"/>
        <v>-3387381513.9082022</v>
      </c>
    </row>
    <row r="241" spans="1:11" ht="15" customHeight="1" x14ac:dyDescent="0.2">
      <c r="A241" s="2">
        <v>45287</v>
      </c>
      <c r="B241" s="2"/>
      <c r="C241" s="1" t="s">
        <v>445</v>
      </c>
      <c r="D241" s="16">
        <v>180335.92</v>
      </c>
      <c r="E241" s="32">
        <v>2797370791.04</v>
      </c>
      <c r="F241" s="17"/>
      <c r="G241" s="32"/>
      <c r="H241" s="3">
        <f t="shared" si="52"/>
        <v>-44964.74999999968</v>
      </c>
      <c r="I241" s="4">
        <f t="shared" si="52"/>
        <v>-590010722.86820221</v>
      </c>
    </row>
    <row r="242" spans="1:11" ht="15" customHeight="1" x14ac:dyDescent="0.2">
      <c r="A242" s="2">
        <v>45291</v>
      </c>
      <c r="C242" s="1" t="s">
        <v>18</v>
      </c>
      <c r="G242" s="151">
        <f>17475759.17+3768819.51</f>
        <v>21244578.68</v>
      </c>
      <c r="H242" s="3">
        <f t="shared" si="52"/>
        <v>-44964.74999999968</v>
      </c>
      <c r="I242" s="4">
        <f t="shared" si="52"/>
        <v>-611255301.54820216</v>
      </c>
    </row>
    <row r="243" spans="1:11" ht="15" customHeight="1" x14ac:dyDescent="0.2">
      <c r="A243" s="2">
        <v>45291</v>
      </c>
      <c r="C243" s="1" t="s">
        <v>459</v>
      </c>
      <c r="F243" s="3">
        <v>15458.68</v>
      </c>
      <c r="G243" s="32">
        <v>234044415.19999999</v>
      </c>
      <c r="H243" s="3">
        <f t="shared" ref="H243" si="53">+H242+D243-F243</f>
        <v>-60423.42999999968</v>
      </c>
      <c r="I243" s="4">
        <f t="shared" ref="I243" si="54">+I242+E243-G243</f>
        <v>-845299716.74820209</v>
      </c>
      <c r="J243" s="4">
        <v>-60423.43</v>
      </c>
      <c r="K243" s="4">
        <v>-845299716.75</v>
      </c>
    </row>
    <row r="244" spans="1:11" ht="15" customHeight="1" x14ac:dyDescent="0.2">
      <c r="D244" s="17"/>
      <c r="F244" s="17"/>
      <c r="G244" s="32"/>
    </row>
    <row r="245" spans="1:11" ht="15" customHeight="1" x14ac:dyDescent="0.2">
      <c r="D245" s="17"/>
      <c r="F245" s="17"/>
      <c r="G245" s="32"/>
    </row>
    <row r="246" spans="1:11" ht="15" customHeight="1" x14ac:dyDescent="0.2">
      <c r="D246" s="17"/>
      <c r="F246" s="17"/>
      <c r="G246" s="32"/>
    </row>
    <row r="247" spans="1:11" ht="15" customHeight="1" x14ac:dyDescent="0.2">
      <c r="D247" s="17"/>
      <c r="F247" s="17"/>
      <c r="G247" s="32"/>
    </row>
    <row r="248" spans="1:11" ht="15" customHeight="1" x14ac:dyDescent="0.2">
      <c r="D248" s="17"/>
      <c r="F248" s="17"/>
      <c r="G248" s="32"/>
    </row>
    <row r="249" spans="1:11" ht="15" customHeight="1" x14ac:dyDescent="0.2">
      <c r="D249" s="17"/>
      <c r="F249" s="17"/>
      <c r="G249" s="32"/>
    </row>
    <row r="250" spans="1:11" ht="15" customHeight="1" x14ac:dyDescent="0.2">
      <c r="D250" s="17"/>
      <c r="F250" s="17"/>
      <c r="G250" s="32"/>
    </row>
    <row r="251" spans="1:11" ht="15" customHeight="1" x14ac:dyDescent="0.2">
      <c r="D251" s="17"/>
      <c r="F251" s="17"/>
      <c r="G251" s="32"/>
    </row>
    <row r="252" spans="1:11" ht="15" customHeight="1" x14ac:dyDescent="0.2">
      <c r="D252" s="17"/>
      <c r="F252" s="17"/>
      <c r="G252" s="32"/>
    </row>
    <row r="253" spans="1:11" ht="15" customHeight="1" x14ac:dyDescent="0.2">
      <c r="D253" s="17"/>
      <c r="F253" s="17"/>
      <c r="G253" s="32"/>
    </row>
    <row r="254" spans="1:11" ht="15" customHeight="1" x14ac:dyDescent="0.2">
      <c r="D254" s="17"/>
      <c r="F254" s="17"/>
      <c r="G254" s="32"/>
    </row>
    <row r="255" spans="1:11" ht="15" customHeight="1" x14ac:dyDescent="0.2">
      <c r="D255" s="17"/>
      <c r="F255" s="17"/>
      <c r="G255" s="32"/>
    </row>
    <row r="256" spans="1:11" ht="15" customHeight="1" x14ac:dyDescent="0.2">
      <c r="D256" s="17"/>
      <c r="F256" s="17"/>
      <c r="G256" s="32"/>
    </row>
    <row r="257" spans="1:9" ht="15" customHeight="1" x14ac:dyDescent="0.2">
      <c r="D257" s="17"/>
      <c r="F257" s="17"/>
      <c r="G257" s="32"/>
    </row>
    <row r="258" spans="1:9" ht="15" customHeight="1" x14ac:dyDescent="0.2">
      <c r="D258" s="17"/>
      <c r="F258" s="17"/>
      <c r="G258" s="32"/>
    </row>
    <row r="259" spans="1:9" ht="15" customHeight="1" x14ac:dyDescent="0.2">
      <c r="D259" s="17"/>
      <c r="F259" s="17"/>
      <c r="G259" s="32"/>
    </row>
    <row r="260" spans="1:9" ht="15" customHeight="1" x14ac:dyDescent="0.2">
      <c r="D260" s="17"/>
      <c r="F260" s="17"/>
      <c r="G260" s="32"/>
    </row>
    <row r="261" spans="1:9" ht="15" customHeight="1" x14ac:dyDescent="0.2">
      <c r="D261" s="17"/>
      <c r="F261" s="17"/>
      <c r="G261" s="32"/>
    </row>
    <row r="262" spans="1:9" ht="15" customHeight="1" x14ac:dyDescent="0.2">
      <c r="D262" s="17"/>
      <c r="F262" s="17"/>
      <c r="G262" s="32"/>
    </row>
    <row r="263" spans="1:9" ht="15" customHeight="1" x14ac:dyDescent="0.2">
      <c r="D263" s="17"/>
      <c r="F263" s="17"/>
      <c r="G263" s="32"/>
    </row>
    <row r="264" spans="1:9" ht="15" customHeight="1" x14ac:dyDescent="0.2">
      <c r="D264" s="17"/>
      <c r="F264" s="17"/>
      <c r="G264" s="32"/>
    </row>
    <row r="265" spans="1:9" ht="15" customHeight="1" x14ac:dyDescent="0.2">
      <c r="D265" s="17"/>
      <c r="F265" s="17"/>
      <c r="G265" s="32"/>
    </row>
    <row r="266" spans="1:9" ht="15" customHeight="1" x14ac:dyDescent="0.2">
      <c r="D266" s="17"/>
      <c r="F266" s="17"/>
      <c r="G266" s="32"/>
    </row>
    <row r="267" spans="1:9" ht="15" customHeight="1" x14ac:dyDescent="0.2">
      <c r="A267" s="5" t="s">
        <v>0</v>
      </c>
    </row>
    <row r="268" spans="1:9" ht="15" customHeight="1" x14ac:dyDescent="0.2">
      <c r="A268" s="5" t="s">
        <v>11</v>
      </c>
    </row>
    <row r="269" spans="1:9" ht="15" customHeight="1" x14ac:dyDescent="0.2">
      <c r="A269" s="5" t="s">
        <v>16</v>
      </c>
    </row>
    <row r="270" spans="1:9" ht="15" customHeight="1" x14ac:dyDescent="0.2">
      <c r="A270" s="5" t="s">
        <v>159</v>
      </c>
    </row>
    <row r="272" spans="1:9" ht="15" customHeight="1" x14ac:dyDescent="0.2">
      <c r="A272" s="9" t="s">
        <v>3</v>
      </c>
      <c r="B272" s="8" t="s">
        <v>4</v>
      </c>
      <c r="C272" s="8" t="s">
        <v>5</v>
      </c>
      <c r="D272" s="229" t="s">
        <v>6</v>
      </c>
      <c r="E272" s="229"/>
      <c r="F272" s="229" t="s">
        <v>7</v>
      </c>
      <c r="G272" s="229"/>
      <c r="H272" s="229" t="s">
        <v>8</v>
      </c>
      <c r="I272" s="229"/>
    </row>
    <row r="273" spans="1:9" ht="15" customHeight="1" x14ac:dyDescent="0.2">
      <c r="A273" s="10"/>
      <c r="B273" s="11"/>
      <c r="C273" s="11" t="s">
        <v>9</v>
      </c>
      <c r="D273" s="12"/>
      <c r="E273" s="183"/>
      <c r="F273" s="103"/>
      <c r="G273" s="179"/>
      <c r="H273" s="12">
        <v>0</v>
      </c>
      <c r="I273" s="13">
        <v>0</v>
      </c>
    </row>
    <row r="274" spans="1:9" ht="15" customHeight="1" x14ac:dyDescent="0.2">
      <c r="A274" s="76">
        <v>44936</v>
      </c>
      <c r="B274" s="2"/>
      <c r="C274" s="75" t="s">
        <v>164</v>
      </c>
      <c r="D274" s="51"/>
      <c r="E274" s="185"/>
      <c r="F274" s="118">
        <v>347645.95</v>
      </c>
      <c r="G274" s="137">
        <v>5414238025.3000002</v>
      </c>
      <c r="H274" s="51">
        <f t="shared" ref="H274:H322" si="55">+H273+D274-F274</f>
        <v>-347645.95</v>
      </c>
      <c r="I274" s="50">
        <f t="shared" ref="I274:I322" si="56">+I273+E274-G274</f>
        <v>-5414238025.3000002</v>
      </c>
    </row>
    <row r="275" spans="1:9" ht="15" customHeight="1" x14ac:dyDescent="0.2">
      <c r="A275" s="76">
        <v>44936</v>
      </c>
      <c r="B275" s="2"/>
      <c r="C275" s="75" t="s">
        <v>17</v>
      </c>
      <c r="D275" s="51"/>
      <c r="E275" s="185"/>
      <c r="F275" s="118">
        <v>37</v>
      </c>
      <c r="G275" s="137">
        <v>576238</v>
      </c>
      <c r="H275" s="51">
        <f t="shared" si="55"/>
        <v>-347682.95</v>
      </c>
      <c r="I275" s="50">
        <f t="shared" si="56"/>
        <v>-5414814263.3000002</v>
      </c>
    </row>
    <row r="276" spans="1:9" ht="15" customHeight="1" x14ac:dyDescent="0.2">
      <c r="A276" s="76">
        <v>44943</v>
      </c>
      <c r="B276" s="2"/>
      <c r="C276" s="75" t="s">
        <v>148</v>
      </c>
      <c r="D276" s="61">
        <v>179050.2</v>
      </c>
      <c r="E276" s="185">
        <v>2794078371</v>
      </c>
      <c r="F276" s="119"/>
      <c r="G276" s="137"/>
      <c r="H276" s="51">
        <f t="shared" si="55"/>
        <v>-168632.75</v>
      </c>
      <c r="I276" s="50">
        <f t="shared" si="56"/>
        <v>-2620735892.3000002</v>
      </c>
    </row>
    <row r="277" spans="1:9" ht="15" customHeight="1" x14ac:dyDescent="0.2">
      <c r="A277" s="76">
        <v>44951</v>
      </c>
      <c r="B277" s="2"/>
      <c r="C277" s="75" t="s">
        <v>149</v>
      </c>
      <c r="D277" s="61">
        <v>168632.75</v>
      </c>
      <c r="E277" s="185">
        <v>2547872219.75</v>
      </c>
      <c r="F277" s="119"/>
      <c r="G277" s="137"/>
      <c r="H277" s="51">
        <f t="shared" si="55"/>
        <v>0</v>
      </c>
      <c r="I277" s="50">
        <f t="shared" si="56"/>
        <v>-72863672.550000191</v>
      </c>
    </row>
    <row r="278" spans="1:9" ht="15" customHeight="1" x14ac:dyDescent="0.2">
      <c r="A278" s="76">
        <v>44957</v>
      </c>
      <c r="C278" s="75" t="s">
        <v>18</v>
      </c>
      <c r="D278" s="51"/>
      <c r="E278" s="55">
        <v>72863672.549999997</v>
      </c>
      <c r="F278" s="119"/>
      <c r="G278" s="137"/>
      <c r="H278" s="51">
        <f t="shared" si="55"/>
        <v>0</v>
      </c>
      <c r="I278" s="50">
        <f t="shared" si="56"/>
        <v>-1.9371509552001953E-7</v>
      </c>
    </row>
    <row r="279" spans="1:9" ht="15" customHeight="1" x14ac:dyDescent="0.2">
      <c r="A279" s="2">
        <v>44964</v>
      </c>
      <c r="C279" s="1" t="s">
        <v>211</v>
      </c>
      <c r="F279" s="120">
        <v>166971.5</v>
      </c>
      <c r="G279" s="151">
        <v>2513755932.5</v>
      </c>
      <c r="H279" s="51">
        <f t="shared" si="55"/>
        <v>-166971.5</v>
      </c>
      <c r="I279" s="50">
        <f t="shared" si="56"/>
        <v>-2513755932.5</v>
      </c>
    </row>
    <row r="280" spans="1:9" ht="15" customHeight="1" x14ac:dyDescent="0.2">
      <c r="A280" s="2">
        <v>44964</v>
      </c>
      <c r="C280" s="1" t="s">
        <v>17</v>
      </c>
      <c r="F280" s="121">
        <v>37</v>
      </c>
      <c r="G280" s="151">
        <v>557035</v>
      </c>
      <c r="H280" s="51">
        <f t="shared" si="55"/>
        <v>-167008.5</v>
      </c>
      <c r="I280" s="50">
        <f t="shared" si="56"/>
        <v>-2514312967.5</v>
      </c>
    </row>
    <row r="281" spans="1:9" ht="15" customHeight="1" x14ac:dyDescent="0.2">
      <c r="A281" s="2">
        <v>44981</v>
      </c>
      <c r="B281" s="2"/>
      <c r="C281" s="1" t="s">
        <v>212</v>
      </c>
      <c r="F281" s="121">
        <v>159075.85</v>
      </c>
      <c r="G281" s="151">
        <v>2415884933.9499998</v>
      </c>
      <c r="H281" s="51">
        <f t="shared" si="55"/>
        <v>-326084.34999999998</v>
      </c>
      <c r="I281" s="50">
        <f t="shared" si="56"/>
        <v>-4930197901.4499998</v>
      </c>
    </row>
    <row r="282" spans="1:9" ht="15" customHeight="1" x14ac:dyDescent="0.2">
      <c r="A282" s="2">
        <v>44981</v>
      </c>
      <c r="B282" s="2"/>
      <c r="C282" s="1" t="s">
        <v>17</v>
      </c>
      <c r="F282" s="121">
        <v>25</v>
      </c>
      <c r="G282" s="151">
        <v>379675</v>
      </c>
      <c r="H282" s="52">
        <f t="shared" si="55"/>
        <v>-326109.34999999998</v>
      </c>
      <c r="I282" s="53">
        <f t="shared" si="56"/>
        <v>-4930577576.4499998</v>
      </c>
    </row>
    <row r="283" spans="1:9" ht="15" customHeight="1" x14ac:dyDescent="0.2">
      <c r="A283" s="2">
        <v>44993</v>
      </c>
      <c r="B283" s="2"/>
      <c r="C283" s="1" t="s">
        <v>197</v>
      </c>
      <c r="D283" s="18">
        <v>82943.55</v>
      </c>
      <c r="E283" s="32">
        <v>1266465064.95</v>
      </c>
      <c r="F283" s="117"/>
      <c r="H283" s="51">
        <f t="shared" si="55"/>
        <v>-243165.8</v>
      </c>
      <c r="I283" s="50">
        <f t="shared" si="56"/>
        <v>-3664112511.5</v>
      </c>
    </row>
    <row r="284" spans="1:9" ht="15" customHeight="1" x14ac:dyDescent="0.2">
      <c r="A284" s="2">
        <v>45005</v>
      </c>
      <c r="B284" s="2"/>
      <c r="C284" s="1" t="s">
        <v>198</v>
      </c>
      <c r="D284" s="18">
        <v>84064.95</v>
      </c>
      <c r="E284" s="32">
        <v>1294936489.8</v>
      </c>
      <c r="F284" s="117"/>
      <c r="H284" s="51">
        <f t="shared" si="55"/>
        <v>-159100.84999999998</v>
      </c>
      <c r="I284" s="50">
        <f t="shared" si="56"/>
        <v>-2369176021.6999998</v>
      </c>
    </row>
    <row r="285" spans="1:9" ht="15" customHeight="1" x14ac:dyDescent="0.2">
      <c r="A285" s="2">
        <v>45006</v>
      </c>
      <c r="B285" s="2"/>
      <c r="C285" s="1" t="s">
        <v>199</v>
      </c>
      <c r="D285" s="18">
        <v>81488.399999999994</v>
      </c>
      <c r="E285" s="32">
        <v>1255247313.5999999</v>
      </c>
      <c r="F285" s="117"/>
      <c r="H285" s="51">
        <f t="shared" si="55"/>
        <v>-77612.449999999983</v>
      </c>
      <c r="I285" s="50">
        <f t="shared" si="56"/>
        <v>-1113928708.0999999</v>
      </c>
    </row>
    <row r="286" spans="1:9" ht="15" customHeight="1" x14ac:dyDescent="0.2">
      <c r="A286" s="2">
        <v>45006</v>
      </c>
      <c r="B286" s="2"/>
      <c r="C286" s="1" t="s">
        <v>200</v>
      </c>
      <c r="D286" s="18">
        <v>77612.45</v>
      </c>
      <c r="E286" s="32">
        <v>1195542179.8</v>
      </c>
      <c r="F286" s="117"/>
      <c r="H286" s="51">
        <f t="shared" si="55"/>
        <v>1.4551915228366852E-11</v>
      </c>
      <c r="I286" s="50">
        <f t="shared" si="56"/>
        <v>81613471.700000048</v>
      </c>
    </row>
    <row r="287" spans="1:9" ht="15" customHeight="1" x14ac:dyDescent="0.2">
      <c r="A287" s="2">
        <v>44999</v>
      </c>
      <c r="B287" s="2"/>
      <c r="C287" s="1" t="s">
        <v>419</v>
      </c>
      <c r="F287" s="218">
        <f>77743-3000-13000-3000-13000</f>
        <v>45743</v>
      </c>
      <c r="G287" s="151">
        <f>1195220882-46122000-199862000-46122000-199862000</f>
        <v>703252882</v>
      </c>
      <c r="H287" s="51">
        <f t="shared" si="55"/>
        <v>-45742.999999999985</v>
      </c>
      <c r="I287" s="50">
        <f t="shared" si="56"/>
        <v>-621639410.29999995</v>
      </c>
    </row>
    <row r="288" spans="1:9" ht="15" customHeight="1" x14ac:dyDescent="0.2">
      <c r="A288" s="2">
        <v>44999</v>
      </c>
      <c r="B288" s="2"/>
      <c r="C288" s="1" t="s">
        <v>432</v>
      </c>
      <c r="F288" s="218">
        <v>13000</v>
      </c>
      <c r="G288" s="151">
        <v>199862000</v>
      </c>
      <c r="H288" s="51">
        <f t="shared" ref="H288:H289" si="57">+H287+D288-F288</f>
        <v>-58742.999999999985</v>
      </c>
      <c r="I288" s="50">
        <f t="shared" ref="I288:I289" si="58">+I287+E288-G288</f>
        <v>-821501410.29999995</v>
      </c>
    </row>
    <row r="289" spans="1:9" ht="15" customHeight="1" x14ac:dyDescent="0.2">
      <c r="A289" s="2">
        <v>44999</v>
      </c>
      <c r="B289" s="2"/>
      <c r="C289" s="1" t="s">
        <v>415</v>
      </c>
      <c r="F289" s="218">
        <v>3000</v>
      </c>
      <c r="G289" s="151">
        <v>46122000</v>
      </c>
      <c r="H289" s="51">
        <f t="shared" si="57"/>
        <v>-61742.999999999985</v>
      </c>
      <c r="I289" s="50">
        <f t="shared" si="58"/>
        <v>-867623410.29999995</v>
      </c>
    </row>
    <row r="290" spans="1:9" ht="15" customHeight="1" x14ac:dyDescent="0.2">
      <c r="A290" s="2">
        <v>44999</v>
      </c>
      <c r="B290" s="2"/>
      <c r="C290" s="1" t="s">
        <v>407</v>
      </c>
      <c r="F290" s="193">
        <v>13000</v>
      </c>
      <c r="G290" s="151">
        <v>199862000</v>
      </c>
      <c r="H290" s="51">
        <f t="shared" ref="H290" si="59">+H289+D290-F290</f>
        <v>-74742.999999999985</v>
      </c>
      <c r="I290" s="50">
        <f t="shared" ref="I290" si="60">+I289+E290-G290</f>
        <v>-1067485410.3</v>
      </c>
    </row>
    <row r="291" spans="1:9" ht="15" customHeight="1" x14ac:dyDescent="0.2">
      <c r="A291" s="2">
        <v>44999</v>
      </c>
      <c r="B291" s="2"/>
      <c r="C291" s="1" t="s">
        <v>366</v>
      </c>
      <c r="F291" s="200">
        <v>3000</v>
      </c>
      <c r="G291" s="151">
        <v>46122000</v>
      </c>
      <c r="H291" s="51">
        <f t="shared" si="55"/>
        <v>-77742.999999999985</v>
      </c>
      <c r="I291" s="50">
        <f t="shared" si="56"/>
        <v>-1113607410.3</v>
      </c>
    </row>
    <row r="292" spans="1:9" ht="15" customHeight="1" x14ac:dyDescent="0.2">
      <c r="A292" s="2">
        <v>44999</v>
      </c>
      <c r="B292" s="2"/>
      <c r="C292" s="1" t="s">
        <v>17</v>
      </c>
      <c r="F292" s="218">
        <v>37</v>
      </c>
      <c r="G292" s="151">
        <v>568838</v>
      </c>
      <c r="H292" s="51">
        <f t="shared" si="55"/>
        <v>-77779.999999999985</v>
      </c>
      <c r="I292" s="50">
        <f t="shared" si="56"/>
        <v>-1114176248.3</v>
      </c>
    </row>
    <row r="293" spans="1:9" ht="15" customHeight="1" x14ac:dyDescent="0.2">
      <c r="A293" s="2">
        <v>44999</v>
      </c>
      <c r="B293" s="2"/>
      <c r="C293" s="1" t="s">
        <v>419</v>
      </c>
      <c r="F293" s="218">
        <f>81632-10000-24000-12000-12000</f>
        <v>23632</v>
      </c>
      <c r="G293" s="151">
        <f>1255010368-153740000-368976000-184488000-184488000</f>
        <v>363318368</v>
      </c>
      <c r="H293" s="51">
        <f t="shared" si="55"/>
        <v>-101411.99999999999</v>
      </c>
      <c r="I293" s="50">
        <f t="shared" si="56"/>
        <v>-1477494616.3</v>
      </c>
    </row>
    <row r="294" spans="1:9" ht="15" customHeight="1" x14ac:dyDescent="0.2">
      <c r="A294" s="2">
        <v>44999</v>
      </c>
      <c r="B294" s="2"/>
      <c r="C294" s="1" t="s">
        <v>432</v>
      </c>
      <c r="F294" s="218">
        <v>12000</v>
      </c>
      <c r="G294" s="151">
        <v>184488000</v>
      </c>
      <c r="H294" s="51">
        <f t="shared" ref="H294:H295" si="61">+H293+D294-F294</f>
        <v>-113411.99999999999</v>
      </c>
      <c r="I294" s="50">
        <f t="shared" ref="I294:I295" si="62">+I293+E294-G294</f>
        <v>-1661982616.3</v>
      </c>
    </row>
    <row r="295" spans="1:9" ht="15" customHeight="1" x14ac:dyDescent="0.2">
      <c r="A295" s="2">
        <v>44999</v>
      </c>
      <c r="B295" s="2"/>
      <c r="C295" s="1" t="s">
        <v>431</v>
      </c>
      <c r="F295" s="218">
        <v>12000</v>
      </c>
      <c r="G295" s="151">
        <v>184488000</v>
      </c>
      <c r="H295" s="51">
        <f t="shared" si="61"/>
        <v>-125411.99999999999</v>
      </c>
      <c r="I295" s="50">
        <f t="shared" si="62"/>
        <v>-1846470616.3</v>
      </c>
    </row>
    <row r="296" spans="1:9" ht="15" customHeight="1" x14ac:dyDescent="0.2">
      <c r="A296" s="2">
        <v>44999</v>
      </c>
      <c r="B296" s="2"/>
      <c r="C296" s="1" t="s">
        <v>415</v>
      </c>
      <c r="F296" s="218">
        <v>24000</v>
      </c>
      <c r="G296" s="151">
        <v>368976000</v>
      </c>
      <c r="H296" s="51">
        <f t="shared" ref="H296" si="63">+H295+D296-F296</f>
        <v>-149412</v>
      </c>
      <c r="I296" s="50">
        <f t="shared" ref="I296" si="64">+I295+E296-G296</f>
        <v>-2215446616.3000002</v>
      </c>
    </row>
    <row r="297" spans="1:9" ht="15" customHeight="1" x14ac:dyDescent="0.2">
      <c r="A297" s="2">
        <v>44999</v>
      </c>
      <c r="B297" s="2"/>
      <c r="C297" s="1" t="s">
        <v>366</v>
      </c>
      <c r="F297" s="200">
        <v>10000</v>
      </c>
      <c r="G297" s="151">
        <v>153740000</v>
      </c>
      <c r="H297" s="51">
        <f t="shared" ref="H297" si="65">+H296+D297-F297</f>
        <v>-159412</v>
      </c>
      <c r="I297" s="50">
        <f t="shared" ref="I297" si="66">+I296+E297-G297</f>
        <v>-2369186616.3000002</v>
      </c>
    </row>
    <row r="298" spans="1:9" ht="15" customHeight="1" x14ac:dyDescent="0.2">
      <c r="A298" s="2">
        <v>44999</v>
      </c>
      <c r="B298" s="2"/>
      <c r="C298" s="1" t="s">
        <v>17</v>
      </c>
      <c r="F298" s="218">
        <v>37</v>
      </c>
      <c r="G298" s="151">
        <v>568838</v>
      </c>
      <c r="H298" s="51">
        <f t="shared" si="55"/>
        <v>-159449</v>
      </c>
      <c r="I298" s="50">
        <f t="shared" si="56"/>
        <v>-2369755454.3000002</v>
      </c>
    </row>
    <row r="299" spans="1:9" ht="15" customHeight="1" x14ac:dyDescent="0.2">
      <c r="A299" s="2">
        <v>45016</v>
      </c>
      <c r="B299" s="2"/>
      <c r="C299" s="1" t="s">
        <v>18</v>
      </c>
      <c r="F299" s="117"/>
      <c r="G299" s="151">
        <v>81613471.700000003</v>
      </c>
      <c r="H299" s="52">
        <f t="shared" si="55"/>
        <v>-159449</v>
      </c>
      <c r="I299" s="53">
        <f t="shared" si="56"/>
        <v>-2451368926</v>
      </c>
    </row>
    <row r="300" spans="1:9" ht="15" customHeight="1" x14ac:dyDescent="0.2">
      <c r="A300" s="2">
        <v>45043</v>
      </c>
      <c r="B300" s="2"/>
      <c r="C300" s="1" t="s">
        <v>232</v>
      </c>
      <c r="D300" s="17">
        <v>88394.8</v>
      </c>
      <c r="E300" s="32">
        <v>1310364515.2</v>
      </c>
      <c r="F300" s="117"/>
      <c r="H300" s="51">
        <f t="shared" si="55"/>
        <v>-71054.2</v>
      </c>
      <c r="I300" s="50">
        <f t="shared" si="56"/>
        <v>-1141004410.8</v>
      </c>
    </row>
    <row r="301" spans="1:9" ht="15" customHeight="1" x14ac:dyDescent="0.2">
      <c r="A301" s="2">
        <v>45026</v>
      </c>
      <c r="B301" s="2"/>
      <c r="C301" s="1" t="s">
        <v>238</v>
      </c>
      <c r="F301" s="117">
        <f>182678.65-94308.85</f>
        <v>88369.799999999988</v>
      </c>
      <c r="G301" s="151">
        <f>2729767066.95-1409257145.55</f>
        <v>1320509921.3999999</v>
      </c>
      <c r="H301" s="51">
        <f t="shared" si="55"/>
        <v>-159424</v>
      </c>
      <c r="I301" s="50">
        <f t="shared" si="56"/>
        <v>-2461514332.1999998</v>
      </c>
    </row>
    <row r="302" spans="1:9" ht="15" customHeight="1" x14ac:dyDescent="0.2">
      <c r="A302" s="2">
        <v>45026</v>
      </c>
      <c r="B302" s="2"/>
      <c r="C302" s="1" t="s">
        <v>288</v>
      </c>
      <c r="F302" s="169">
        <v>94308.85</v>
      </c>
      <c r="G302" s="151">
        <v>1409257145.55</v>
      </c>
      <c r="H302" s="51">
        <f t="shared" si="55"/>
        <v>-253732.85</v>
      </c>
      <c r="I302" s="50">
        <f t="shared" si="56"/>
        <v>-3870771477.75</v>
      </c>
    </row>
    <row r="303" spans="1:9" ht="15" customHeight="1" x14ac:dyDescent="0.2">
      <c r="A303" s="2">
        <v>45026</v>
      </c>
      <c r="B303" s="2"/>
      <c r="C303" s="1" t="s">
        <v>17</v>
      </c>
      <c r="F303" s="117">
        <v>25</v>
      </c>
      <c r="G303" s="151">
        <v>373575</v>
      </c>
      <c r="H303" s="51">
        <f t="shared" si="55"/>
        <v>-253757.85</v>
      </c>
      <c r="I303" s="50">
        <f t="shared" si="56"/>
        <v>-3871145052.75</v>
      </c>
    </row>
    <row r="304" spans="1:9" ht="15" customHeight="1" x14ac:dyDescent="0.2">
      <c r="A304" s="2">
        <v>45046</v>
      </c>
      <c r="B304" s="2"/>
      <c r="C304" s="1" t="s">
        <v>18</v>
      </c>
      <c r="E304" s="32">
        <v>10518981.199999999</v>
      </c>
      <c r="F304" s="117"/>
      <c r="H304" s="52">
        <f t="shared" ref="H304:H305" si="67">+H303+D304-F304</f>
        <v>-253757.85</v>
      </c>
      <c r="I304" s="53">
        <f t="shared" ref="I304:I305" si="68">+I303+E304-G304</f>
        <v>-3860626071.5500002</v>
      </c>
    </row>
    <row r="305" spans="1:11" ht="15" customHeight="1" x14ac:dyDescent="0.2">
      <c r="A305" s="2">
        <v>45057</v>
      </c>
      <c r="B305" s="2"/>
      <c r="C305" s="1" t="s">
        <v>453</v>
      </c>
      <c r="F305" s="220">
        <v>68669</v>
      </c>
      <c r="G305" s="32">
        <v>1012593074</v>
      </c>
      <c r="H305" s="51">
        <f t="shared" si="67"/>
        <v>-322426.84999999998</v>
      </c>
      <c r="I305" s="50">
        <f t="shared" si="68"/>
        <v>-4873219145.5500002</v>
      </c>
    </row>
    <row r="306" spans="1:11" ht="15" customHeight="1" x14ac:dyDescent="0.2">
      <c r="A306" s="2">
        <v>45057</v>
      </c>
      <c r="B306" s="2"/>
      <c r="C306" s="1" t="s">
        <v>17</v>
      </c>
      <c r="F306" s="220">
        <v>37</v>
      </c>
      <c r="G306" s="32">
        <v>545602</v>
      </c>
      <c r="H306" s="52">
        <f t="shared" ref="H306" si="69">+H305+D306-F306</f>
        <v>-322463.84999999998</v>
      </c>
      <c r="I306" s="53">
        <f t="shared" ref="I306" si="70">+I305+E306-G306</f>
        <v>-4873764747.5500002</v>
      </c>
    </row>
    <row r="307" spans="1:11" ht="15" customHeight="1" x14ac:dyDescent="0.2">
      <c r="A307" s="2">
        <v>45092</v>
      </c>
      <c r="B307" s="2"/>
      <c r="C307" s="1" t="s">
        <v>301</v>
      </c>
      <c r="D307" s="170">
        <v>94308.85</v>
      </c>
      <c r="E307" s="32">
        <v>1402561217.2</v>
      </c>
      <c r="F307" s="117"/>
      <c r="H307" s="3">
        <f t="shared" si="55"/>
        <v>-228154.99999999997</v>
      </c>
      <c r="I307" s="4">
        <f t="shared" si="56"/>
        <v>-3471203530.3500004</v>
      </c>
    </row>
    <row r="308" spans="1:11" ht="15" customHeight="1" x14ac:dyDescent="0.2">
      <c r="A308" s="2">
        <v>45107</v>
      </c>
      <c r="B308" s="2"/>
      <c r="C308" s="1" t="s">
        <v>18</v>
      </c>
      <c r="E308" s="32">
        <v>6695928.3499999996</v>
      </c>
      <c r="F308" s="117"/>
      <c r="H308" s="6">
        <f t="shared" si="55"/>
        <v>-228154.99999999997</v>
      </c>
      <c r="I308" s="7">
        <f t="shared" si="56"/>
        <v>-3464507602.0000005</v>
      </c>
    </row>
    <row r="309" spans="1:11" ht="15" customHeight="1" x14ac:dyDescent="0.2">
      <c r="A309" s="2">
        <v>45127</v>
      </c>
      <c r="B309" s="2"/>
      <c r="C309" s="1" t="s">
        <v>347</v>
      </c>
      <c r="F309" s="168">
        <f>277137.71-93659.15-91216.11</f>
        <v>92262.450000000026</v>
      </c>
      <c r="G309" s="32">
        <f>4155402823.74-1404325295.1-1367694353.34</f>
        <v>1383383175.3</v>
      </c>
      <c r="H309" s="3">
        <f t="shared" si="55"/>
        <v>-320417.45</v>
      </c>
      <c r="I309" s="4">
        <f t="shared" si="56"/>
        <v>-4847890777.3000002</v>
      </c>
    </row>
    <row r="310" spans="1:11" ht="15" customHeight="1" x14ac:dyDescent="0.2">
      <c r="A310" s="2">
        <v>45127</v>
      </c>
      <c r="B310" s="2"/>
      <c r="C310" s="1" t="s">
        <v>411</v>
      </c>
      <c r="F310" s="39">
        <v>91216.11</v>
      </c>
      <c r="G310" s="32">
        <v>1367694353.3399999</v>
      </c>
      <c r="H310" s="3">
        <f t="shared" si="55"/>
        <v>-411633.56</v>
      </c>
      <c r="I310" s="4">
        <f t="shared" si="56"/>
        <v>-6215585130.6400003</v>
      </c>
    </row>
    <row r="311" spans="1:11" ht="15" customHeight="1" x14ac:dyDescent="0.2">
      <c r="A311" s="2">
        <v>45127</v>
      </c>
      <c r="B311" s="2"/>
      <c r="C311" s="1" t="s">
        <v>395</v>
      </c>
      <c r="F311" s="16">
        <v>93659.15</v>
      </c>
      <c r="G311" s="32">
        <v>1404325295.0999999</v>
      </c>
      <c r="H311" s="3">
        <f t="shared" si="55"/>
        <v>-505292.70999999996</v>
      </c>
      <c r="I311" s="4">
        <f t="shared" si="56"/>
        <v>-7619910425.7399998</v>
      </c>
    </row>
    <row r="312" spans="1:11" ht="15" customHeight="1" x14ac:dyDescent="0.2">
      <c r="A312" s="2">
        <v>45127</v>
      </c>
      <c r="B312" s="2"/>
      <c r="C312" s="1" t="s">
        <v>17</v>
      </c>
      <c r="F312" s="168">
        <v>35</v>
      </c>
      <c r="G312" s="32">
        <v>524790</v>
      </c>
      <c r="H312" s="6">
        <f t="shared" si="55"/>
        <v>-505327.70999999996</v>
      </c>
      <c r="I312" s="7">
        <f t="shared" si="56"/>
        <v>-7620435215.7399998</v>
      </c>
    </row>
    <row r="313" spans="1:11" ht="15" customHeight="1" x14ac:dyDescent="0.2">
      <c r="A313" s="2">
        <v>45140</v>
      </c>
      <c r="B313" s="2"/>
      <c r="C313" s="1" t="s">
        <v>349</v>
      </c>
      <c r="F313" s="66">
        <v>76610.58</v>
      </c>
      <c r="G313" s="32">
        <v>1158122137.8599999</v>
      </c>
      <c r="H313" s="3">
        <f>+H312+D313-F313</f>
        <v>-581938.28999999992</v>
      </c>
      <c r="I313" s="4">
        <f>+I312+E313-G313</f>
        <v>-8778557353.6000004</v>
      </c>
    </row>
    <row r="314" spans="1:11" ht="15" customHeight="1" x14ac:dyDescent="0.2">
      <c r="A314" s="2">
        <v>45140</v>
      </c>
      <c r="B314" s="2"/>
      <c r="C314" s="1" t="s">
        <v>17</v>
      </c>
      <c r="F314" s="66">
        <v>35</v>
      </c>
      <c r="G314" s="32">
        <v>529095</v>
      </c>
      <c r="H314" s="3">
        <f t="shared" si="55"/>
        <v>-581973.28999999992</v>
      </c>
      <c r="I314" s="4">
        <f t="shared" si="56"/>
        <v>-8779086448.6000004</v>
      </c>
    </row>
    <row r="315" spans="1:11" ht="15" customHeight="1" x14ac:dyDescent="0.2">
      <c r="A315" s="2">
        <v>45147</v>
      </c>
      <c r="C315" s="1" t="s">
        <v>365</v>
      </c>
      <c r="D315" s="66">
        <v>89645.58</v>
      </c>
      <c r="E315" s="32">
        <v>1358130537</v>
      </c>
      <c r="F315" s="117"/>
      <c r="H315" s="3">
        <f t="shared" si="55"/>
        <v>-492327.7099999999</v>
      </c>
      <c r="I315" s="4">
        <f t="shared" si="56"/>
        <v>-7420955911.6000004</v>
      </c>
    </row>
    <row r="316" spans="1:11" ht="15" customHeight="1" x14ac:dyDescent="0.2">
      <c r="A316" s="2">
        <v>45169</v>
      </c>
      <c r="B316" s="2"/>
      <c r="C316" s="1" t="s">
        <v>18</v>
      </c>
      <c r="E316" s="32">
        <v>382695.86</v>
      </c>
      <c r="F316" s="117"/>
      <c r="H316" s="6">
        <f t="shared" si="55"/>
        <v>-492327.7099999999</v>
      </c>
      <c r="I316" s="7">
        <f t="shared" si="56"/>
        <v>-7420573215.7400007</v>
      </c>
    </row>
    <row r="317" spans="1:11" ht="15" customHeight="1" x14ac:dyDescent="0.2">
      <c r="A317" s="2">
        <v>45195</v>
      </c>
      <c r="B317" s="2"/>
      <c r="C317" s="1" t="s">
        <v>394</v>
      </c>
      <c r="D317" s="16">
        <v>93659.15</v>
      </c>
      <c r="E317" s="32">
        <v>1438417225.7</v>
      </c>
      <c r="F317" s="117"/>
      <c r="H317" s="3">
        <f t="shared" si="55"/>
        <v>-398668.55999999994</v>
      </c>
      <c r="I317" s="4">
        <f t="shared" si="56"/>
        <v>-5982155990.0400009</v>
      </c>
    </row>
    <row r="318" spans="1:11" ht="15" customHeight="1" x14ac:dyDescent="0.2">
      <c r="A318" s="2">
        <v>45199</v>
      </c>
      <c r="B318" s="2"/>
      <c r="C318" s="1" t="s">
        <v>18</v>
      </c>
      <c r="F318" s="117"/>
      <c r="G318" s="151">
        <v>34091930.600000098</v>
      </c>
      <c r="H318" s="6">
        <f t="shared" si="55"/>
        <v>-398668.55999999994</v>
      </c>
      <c r="I318" s="7">
        <f t="shared" si="56"/>
        <v>-6016247920.6400013</v>
      </c>
    </row>
    <row r="319" spans="1:11" ht="15" customHeight="1" x14ac:dyDescent="0.2">
      <c r="A319" s="212">
        <v>45209</v>
      </c>
      <c r="B319" s="212"/>
      <c r="C319" s="40" t="s">
        <v>407</v>
      </c>
      <c r="D319" s="177"/>
      <c r="E319" s="208"/>
      <c r="F319" s="216">
        <v>71515.899999999994</v>
      </c>
      <c r="G319" s="208">
        <v>1121012447.6600001</v>
      </c>
      <c r="H319" s="3">
        <f t="shared" si="55"/>
        <v>-470184.45999999996</v>
      </c>
      <c r="I319" s="4">
        <f t="shared" si="56"/>
        <v>-7137260368.3000011</v>
      </c>
      <c r="J319" s="1"/>
      <c r="K319" s="1"/>
    </row>
    <row r="320" spans="1:11" ht="15" customHeight="1" x14ac:dyDescent="0.2">
      <c r="A320" s="212">
        <v>45209</v>
      </c>
      <c r="B320" s="212"/>
      <c r="C320" s="40" t="s">
        <v>17</v>
      </c>
      <c r="D320" s="177"/>
      <c r="E320" s="208"/>
      <c r="F320" s="216">
        <v>37</v>
      </c>
      <c r="G320" s="208">
        <v>579975.37</v>
      </c>
      <c r="H320" s="3">
        <f t="shared" si="55"/>
        <v>-470221.45999999996</v>
      </c>
      <c r="I320" s="4">
        <f t="shared" si="56"/>
        <v>-7137840343.670001</v>
      </c>
      <c r="J320" s="1"/>
      <c r="K320" s="1"/>
    </row>
    <row r="321" spans="1:9" ht="15" customHeight="1" x14ac:dyDescent="0.2">
      <c r="A321" s="2">
        <v>45222</v>
      </c>
      <c r="B321" s="2"/>
      <c r="C321" s="1" t="s">
        <v>400</v>
      </c>
      <c r="D321" s="71">
        <v>84552.9</v>
      </c>
      <c r="E321" s="32">
        <v>1327565082.8999999</v>
      </c>
      <c r="F321" s="117"/>
      <c r="H321" s="3">
        <f t="shared" si="55"/>
        <v>-385668.55999999994</v>
      </c>
      <c r="I321" s="4">
        <f t="shared" si="56"/>
        <v>-5810275260.7700014</v>
      </c>
    </row>
    <row r="322" spans="1:9" ht="15" customHeight="1" x14ac:dyDescent="0.2">
      <c r="A322" s="2">
        <v>45229</v>
      </c>
      <c r="C322" s="1" t="s">
        <v>401</v>
      </c>
      <c r="D322" s="39">
        <v>91216.11</v>
      </c>
      <c r="E322" s="32">
        <v>1438660486.9200001</v>
      </c>
      <c r="H322" s="3">
        <f t="shared" si="55"/>
        <v>-294452.44999999995</v>
      </c>
      <c r="I322" s="4">
        <f t="shared" si="56"/>
        <v>-4371614773.8500013</v>
      </c>
    </row>
    <row r="323" spans="1:9" ht="15" customHeight="1" x14ac:dyDescent="0.2">
      <c r="A323" s="2">
        <v>45230</v>
      </c>
      <c r="C323" s="1" t="s">
        <v>18</v>
      </c>
      <c r="G323" s="151">
        <f>6110659.87+70966133.58</f>
        <v>77076793.450000003</v>
      </c>
      <c r="H323" s="6">
        <f t="shared" ref="H323" si="71">+H322+D323-F323</f>
        <v>-294452.44999999995</v>
      </c>
      <c r="I323" s="7">
        <f t="shared" ref="I323" si="72">+I322+E323-G323</f>
        <v>-4448691567.3000011</v>
      </c>
    </row>
    <row r="324" spans="1:9" ht="15" customHeight="1" x14ac:dyDescent="0.2">
      <c r="A324" s="2">
        <v>45236</v>
      </c>
      <c r="B324" s="2"/>
      <c r="C324" s="1" t="s">
        <v>422</v>
      </c>
      <c r="D324" s="168">
        <v>153285.6</v>
      </c>
      <c r="E324" s="32">
        <v>2439080467.1999998</v>
      </c>
      <c r="H324" s="3">
        <f t="shared" ref="H324" si="73">+H323+D324-F324</f>
        <v>-141166.84999999995</v>
      </c>
      <c r="I324" s="4">
        <f t="shared" ref="I324" si="74">+I323+E324-G324</f>
        <v>-2009611100.1000013</v>
      </c>
    </row>
    <row r="325" spans="1:9" ht="15" customHeight="1" x14ac:dyDescent="0.2">
      <c r="A325" s="2">
        <v>45231</v>
      </c>
      <c r="B325" s="2"/>
      <c r="C325" s="1" t="s">
        <v>415</v>
      </c>
      <c r="F325" s="168">
        <v>126250.6</v>
      </c>
      <c r="G325" s="32">
        <v>2007005788.2</v>
      </c>
      <c r="H325" s="3">
        <f t="shared" ref="H325:H327" si="75">+H324+D325-F325</f>
        <v>-267417.44999999995</v>
      </c>
      <c r="I325" s="4">
        <f t="shared" ref="I325:I327" si="76">+I324+E325-G325</f>
        <v>-4016616888.3000011</v>
      </c>
    </row>
    <row r="326" spans="1:9" ht="15" customHeight="1" x14ac:dyDescent="0.2">
      <c r="A326" s="2">
        <v>45231</v>
      </c>
      <c r="B326" s="2"/>
      <c r="C326" s="1" t="s">
        <v>17</v>
      </c>
      <c r="F326" s="168">
        <v>35</v>
      </c>
      <c r="G326" s="32">
        <v>556395</v>
      </c>
      <c r="H326" s="3">
        <f t="shared" si="75"/>
        <v>-267452.44999999995</v>
      </c>
      <c r="I326" s="4">
        <f t="shared" si="76"/>
        <v>-4017173283.3000011</v>
      </c>
    </row>
    <row r="327" spans="1:9" ht="15" customHeight="1" x14ac:dyDescent="0.2">
      <c r="A327" s="2">
        <v>45250</v>
      </c>
      <c r="B327" s="2"/>
      <c r="C327" s="1" t="s">
        <v>423</v>
      </c>
      <c r="D327" s="168">
        <v>85859.69</v>
      </c>
      <c r="E327" s="32">
        <v>1341385936.8699999</v>
      </c>
      <c r="H327" s="3">
        <f t="shared" si="75"/>
        <v>-181592.75999999995</v>
      </c>
      <c r="I327" s="4">
        <f t="shared" si="76"/>
        <v>-2675787346.4300013</v>
      </c>
    </row>
    <row r="328" spans="1:9" ht="15" customHeight="1" x14ac:dyDescent="0.2">
      <c r="A328" s="2">
        <v>45245</v>
      </c>
      <c r="C328" s="1" t="s">
        <v>431</v>
      </c>
      <c r="D328" s="17"/>
      <c r="F328" s="168">
        <v>73859.69</v>
      </c>
      <c r="G328" s="32">
        <v>1159523273.3099999</v>
      </c>
      <c r="H328" s="3">
        <f t="shared" ref="H328:H331" si="77">+H327+D328-F328</f>
        <v>-255452.44999999995</v>
      </c>
      <c r="I328" s="4">
        <f t="shared" ref="I328:I331" si="78">+I327+E328-G328</f>
        <v>-3835310619.7400012</v>
      </c>
    </row>
    <row r="329" spans="1:9" ht="15" customHeight="1" x14ac:dyDescent="0.2">
      <c r="A329" s="2">
        <v>45245</v>
      </c>
      <c r="C329" s="1" t="s">
        <v>432</v>
      </c>
      <c r="D329" s="17"/>
      <c r="F329" s="168">
        <v>138147.04</v>
      </c>
      <c r="G329" s="32">
        <v>2168770380.96</v>
      </c>
      <c r="H329" s="3">
        <f t="shared" si="77"/>
        <v>-393599.49</v>
      </c>
      <c r="I329" s="4">
        <f t="shared" si="78"/>
        <v>-6004081000.7000008</v>
      </c>
    </row>
    <row r="330" spans="1:9" ht="15" customHeight="1" x14ac:dyDescent="0.2">
      <c r="A330" s="2">
        <v>45245</v>
      </c>
      <c r="C330" s="1" t="s">
        <v>17</v>
      </c>
      <c r="D330" s="17"/>
      <c r="F330" s="168">
        <f>608.09+25</f>
        <v>633.09</v>
      </c>
      <c r="G330" s="32">
        <v>9938879.9100000001</v>
      </c>
      <c r="H330" s="3">
        <f t="shared" si="77"/>
        <v>-394232.58</v>
      </c>
      <c r="I330" s="4">
        <f t="shared" si="78"/>
        <v>-6014019880.6100006</v>
      </c>
    </row>
    <row r="331" spans="1:9" ht="15" customHeight="1" x14ac:dyDescent="0.2">
      <c r="A331" s="2">
        <v>45250</v>
      </c>
      <c r="B331" s="2"/>
      <c r="C331" s="1" t="s">
        <v>424</v>
      </c>
      <c r="D331" s="168">
        <v>163147.04</v>
      </c>
      <c r="E331" s="32">
        <v>2548846205.9200001</v>
      </c>
      <c r="H331" s="3">
        <f t="shared" si="77"/>
        <v>-231085.54</v>
      </c>
      <c r="I331" s="4">
        <f t="shared" si="78"/>
        <v>-3465173674.6900005</v>
      </c>
    </row>
    <row r="332" spans="1:9" ht="15" customHeight="1" x14ac:dyDescent="0.2">
      <c r="A332" s="2">
        <v>45254</v>
      </c>
      <c r="B332" s="2"/>
      <c r="C332" s="1" t="s">
        <v>419</v>
      </c>
      <c r="F332" s="168">
        <v>92673.04</v>
      </c>
      <c r="G332" s="32">
        <v>1445050712.72</v>
      </c>
      <c r="H332" s="3">
        <f t="shared" ref="H332:H336" si="79">+H331+D332-F332</f>
        <v>-323758.58</v>
      </c>
      <c r="I332" s="4">
        <f t="shared" ref="I332:I336" si="80">+I331+E332-G332</f>
        <v>-4910224387.4100008</v>
      </c>
    </row>
    <row r="333" spans="1:9" ht="15" customHeight="1" x14ac:dyDescent="0.2">
      <c r="A333" s="2">
        <v>45254</v>
      </c>
      <c r="B333" s="2"/>
      <c r="C333" s="1" t="s">
        <v>17</v>
      </c>
      <c r="F333" s="168">
        <v>25</v>
      </c>
      <c r="G333" s="32">
        <v>389825</v>
      </c>
      <c r="H333" s="3">
        <f t="shared" si="79"/>
        <v>-323783.58</v>
      </c>
      <c r="I333" s="4">
        <f t="shared" si="80"/>
        <v>-4910614212.4100008</v>
      </c>
    </row>
    <row r="334" spans="1:9" ht="15" customHeight="1" x14ac:dyDescent="0.2">
      <c r="A334" s="2">
        <v>45257</v>
      </c>
      <c r="B334" s="2"/>
      <c r="C334" s="1" t="s">
        <v>428</v>
      </c>
      <c r="D334" s="168">
        <v>92297.46</v>
      </c>
      <c r="E334" s="32">
        <v>1440117268.3800001</v>
      </c>
      <c r="H334" s="3">
        <f t="shared" si="79"/>
        <v>-231486.12</v>
      </c>
      <c r="I334" s="4">
        <f t="shared" si="80"/>
        <v>-3470496944.0300007</v>
      </c>
    </row>
    <row r="335" spans="1:9" ht="15" customHeight="1" x14ac:dyDescent="0.2">
      <c r="A335" s="2">
        <v>45257</v>
      </c>
      <c r="B335" s="2"/>
      <c r="C335" s="1" t="s">
        <v>17</v>
      </c>
      <c r="D335" s="17"/>
      <c r="F335" s="218">
        <v>0.01</v>
      </c>
      <c r="G335" s="151">
        <v>149.94</v>
      </c>
      <c r="H335" s="3">
        <f t="shared" si="79"/>
        <v>-231486.13</v>
      </c>
      <c r="I335" s="4">
        <f t="shared" si="80"/>
        <v>-3470497093.9700007</v>
      </c>
    </row>
    <row r="336" spans="1:9" ht="15" customHeight="1" x14ac:dyDescent="0.2">
      <c r="A336" s="2">
        <v>45257</v>
      </c>
      <c r="B336" s="2"/>
      <c r="C336" s="1" t="s">
        <v>429</v>
      </c>
      <c r="D336" s="168">
        <v>162780.13</v>
      </c>
      <c r="E336" s="32">
        <v>2539858368.3899999</v>
      </c>
      <c r="H336" s="3">
        <f t="shared" si="79"/>
        <v>-68706</v>
      </c>
      <c r="I336" s="4">
        <f t="shared" si="80"/>
        <v>-930638725.58000088</v>
      </c>
    </row>
    <row r="337" spans="1:9" ht="15" customHeight="1" x14ac:dyDescent="0.2">
      <c r="A337" s="2">
        <v>45260</v>
      </c>
      <c r="C337" s="1" t="s">
        <v>18</v>
      </c>
      <c r="G337" s="151">
        <f>26290797.2800007+56209153.14</f>
        <v>82499950.420000702</v>
      </c>
      <c r="H337" s="6">
        <f t="shared" ref="H337" si="81">+H336+D337-F337</f>
        <v>-68706</v>
      </c>
      <c r="I337" s="7">
        <f t="shared" ref="I337" si="82">+I336+E337-G337</f>
        <v>-1013138676.0000015</v>
      </c>
    </row>
    <row r="338" spans="1:9" ht="15" customHeight="1" x14ac:dyDescent="0.2">
      <c r="A338" s="2">
        <v>45273</v>
      </c>
      <c r="C338" s="1" t="s">
        <v>452</v>
      </c>
      <c r="D338" s="219">
        <v>68706</v>
      </c>
      <c r="E338" s="32">
        <v>1073943486</v>
      </c>
      <c r="H338" s="3">
        <f t="shared" ref="H338" si="83">+H337+D338-F338</f>
        <v>0</v>
      </c>
      <c r="I338" s="4">
        <f t="shared" ref="I338" si="84">+I337+E338-G338</f>
        <v>60804809.99999845</v>
      </c>
    </row>
    <row r="339" spans="1:9" ht="15" customHeight="1" x14ac:dyDescent="0.2">
      <c r="A339" s="2">
        <v>45291</v>
      </c>
      <c r="C339" s="1" t="s">
        <v>18</v>
      </c>
      <c r="G339" s="151">
        <f>60804810</f>
        <v>60804810</v>
      </c>
      <c r="H339" s="6">
        <f t="shared" ref="H339" si="85">+H338+D339-F339</f>
        <v>0</v>
      </c>
      <c r="I339" s="7">
        <f t="shared" ref="I339" si="86">+I338+E339-G339</f>
        <v>-1.5497207641601563E-6</v>
      </c>
    </row>
    <row r="340" spans="1:9" ht="15" customHeight="1" x14ac:dyDescent="0.2">
      <c r="G340" s="32"/>
    </row>
    <row r="369" spans="1:9" ht="15" customHeight="1" x14ac:dyDescent="0.2">
      <c r="A369" s="5" t="s">
        <v>0</v>
      </c>
    </row>
    <row r="370" spans="1:9" ht="15" customHeight="1" x14ac:dyDescent="0.2">
      <c r="A370" s="5" t="s">
        <v>11</v>
      </c>
    </row>
    <row r="371" spans="1:9" ht="15" customHeight="1" x14ac:dyDescent="0.2">
      <c r="A371" s="5" t="s">
        <v>196</v>
      </c>
    </row>
    <row r="372" spans="1:9" ht="15" customHeight="1" x14ac:dyDescent="0.2">
      <c r="A372" s="5" t="s">
        <v>159</v>
      </c>
    </row>
    <row r="374" spans="1:9" ht="15" customHeight="1" x14ac:dyDescent="0.2">
      <c r="A374" s="9" t="s">
        <v>3</v>
      </c>
      <c r="B374" s="8" t="s">
        <v>4</v>
      </c>
      <c r="C374" s="8" t="s">
        <v>5</v>
      </c>
      <c r="D374" s="229" t="s">
        <v>6</v>
      </c>
      <c r="E374" s="229"/>
      <c r="F374" s="229" t="s">
        <v>7</v>
      </c>
      <c r="G374" s="229"/>
      <c r="H374" s="229" t="s">
        <v>8</v>
      </c>
      <c r="I374" s="229"/>
    </row>
    <row r="375" spans="1:9" ht="15" customHeight="1" x14ac:dyDescent="0.2">
      <c r="A375" s="10"/>
      <c r="B375" s="11"/>
      <c r="C375" s="11" t="s">
        <v>123</v>
      </c>
      <c r="D375" s="12"/>
      <c r="E375" s="183"/>
      <c r="F375" s="103"/>
      <c r="G375" s="179"/>
      <c r="H375" s="100">
        <v>-21648.2</v>
      </c>
      <c r="I375" s="13">
        <v>-338361366</v>
      </c>
    </row>
    <row r="376" spans="1:9" ht="15" customHeight="1" x14ac:dyDescent="0.2">
      <c r="A376" s="48">
        <v>44980</v>
      </c>
      <c r="B376" s="49"/>
      <c r="C376" s="49" t="s">
        <v>187</v>
      </c>
      <c r="D376" s="51"/>
      <c r="E376" s="55"/>
      <c r="F376" s="122">
        <v>50234.66</v>
      </c>
      <c r="G376" s="137">
        <v>764471055.88</v>
      </c>
      <c r="H376" s="51">
        <f>+H375+D376-F376</f>
        <v>-71882.86</v>
      </c>
      <c r="I376" s="50">
        <f>+I375+E376-G376</f>
        <v>-1102832421.8800001</v>
      </c>
    </row>
    <row r="377" spans="1:9" ht="15" customHeight="1" x14ac:dyDescent="0.2">
      <c r="A377" s="48">
        <v>44980</v>
      </c>
      <c r="B377" s="49"/>
      <c r="C377" s="49" t="s">
        <v>17</v>
      </c>
      <c r="D377" s="51"/>
      <c r="E377" s="55"/>
      <c r="F377" s="122">
        <v>50</v>
      </c>
      <c r="G377" s="137">
        <v>760900</v>
      </c>
      <c r="H377" s="51">
        <f t="shared" ref="H377:H386" si="87">+H376+D377-F377</f>
        <v>-71932.86</v>
      </c>
      <c r="I377" s="50">
        <f t="shared" ref="I377:I386" si="88">+I376+E377-G377</f>
        <v>-1103593321.8800001</v>
      </c>
    </row>
    <row r="378" spans="1:9" ht="15" customHeight="1" x14ac:dyDescent="0.2">
      <c r="A378" s="48">
        <v>44984</v>
      </c>
      <c r="B378" s="49"/>
      <c r="C378" s="49" t="s">
        <v>187</v>
      </c>
      <c r="D378" s="51"/>
      <c r="E378" s="55"/>
      <c r="F378" s="122">
        <v>228.2</v>
      </c>
      <c r="G378" s="137">
        <v>3472291.2</v>
      </c>
      <c r="H378" s="52">
        <f t="shared" si="87"/>
        <v>-72161.06</v>
      </c>
      <c r="I378" s="53">
        <f t="shared" si="88"/>
        <v>-1107065613.0800002</v>
      </c>
    </row>
    <row r="379" spans="1:9" ht="15" customHeight="1" x14ac:dyDescent="0.2">
      <c r="A379" s="48">
        <v>44987</v>
      </c>
      <c r="B379" s="49"/>
      <c r="C379" s="49" t="s">
        <v>201</v>
      </c>
      <c r="D379" s="96">
        <v>71784.66</v>
      </c>
      <c r="E379" s="55">
        <v>1090696124.04</v>
      </c>
      <c r="F379" s="119"/>
      <c r="G379" s="137"/>
      <c r="H379" s="51">
        <f t="shared" si="87"/>
        <v>-376.39999999999418</v>
      </c>
      <c r="I379" s="50">
        <f t="shared" si="88"/>
        <v>-16369489.0400002</v>
      </c>
    </row>
    <row r="380" spans="1:9" ht="15" customHeight="1" x14ac:dyDescent="0.2">
      <c r="A380" s="48">
        <v>45016</v>
      </c>
      <c r="B380" s="49"/>
      <c r="C380" s="49" t="s">
        <v>18</v>
      </c>
      <c r="D380" s="51"/>
      <c r="E380" s="55">
        <v>10486357.039999999</v>
      </c>
      <c r="F380" s="119"/>
      <c r="G380" s="137"/>
      <c r="H380" s="52">
        <f t="shared" si="87"/>
        <v>-376.39999999999418</v>
      </c>
      <c r="I380" s="53">
        <f t="shared" si="88"/>
        <v>-5883132.0000002012</v>
      </c>
    </row>
    <row r="381" spans="1:9" ht="15" customHeight="1" x14ac:dyDescent="0.2">
      <c r="A381" s="2">
        <v>45056</v>
      </c>
      <c r="C381" s="1" t="s">
        <v>264</v>
      </c>
      <c r="F381" s="201">
        <v>23070</v>
      </c>
      <c r="G381" s="32">
        <v>340443990</v>
      </c>
      <c r="H381" s="52">
        <f t="shared" si="87"/>
        <v>-23446.399999999994</v>
      </c>
      <c r="I381" s="53">
        <f t="shared" si="88"/>
        <v>-346327122.00000018</v>
      </c>
    </row>
    <row r="382" spans="1:9" ht="15" customHeight="1" x14ac:dyDescent="0.2">
      <c r="A382" s="2">
        <v>45113</v>
      </c>
      <c r="B382" s="2"/>
      <c r="C382" s="1" t="s">
        <v>327</v>
      </c>
      <c r="F382" s="33">
        <v>1050</v>
      </c>
      <c r="G382" s="32">
        <v>15763650</v>
      </c>
      <c r="H382" s="6">
        <f>+H381+D382-F382</f>
        <v>-24496.399999999994</v>
      </c>
      <c r="I382" s="7">
        <f>+I381+E382-G382</f>
        <v>-362090772.00000018</v>
      </c>
    </row>
    <row r="383" spans="1:9" ht="15" customHeight="1" x14ac:dyDescent="0.2">
      <c r="A383" s="2">
        <v>45148</v>
      </c>
      <c r="B383" s="2"/>
      <c r="C383" s="1" t="s">
        <v>327</v>
      </c>
      <c r="F383" s="33">
        <v>50106.01</v>
      </c>
      <c r="G383" s="32">
        <v>761911988.05999994</v>
      </c>
      <c r="H383" s="3">
        <f t="shared" si="87"/>
        <v>-74602.41</v>
      </c>
      <c r="I383" s="4">
        <f t="shared" si="88"/>
        <v>-1124002760.0600002</v>
      </c>
    </row>
    <row r="384" spans="1:9" ht="15" customHeight="1" x14ac:dyDescent="0.2">
      <c r="A384" s="2">
        <v>45148</v>
      </c>
      <c r="B384" s="2"/>
      <c r="C384" s="1" t="s">
        <v>17</v>
      </c>
      <c r="F384" s="33">
        <v>50</v>
      </c>
      <c r="G384" s="32">
        <v>760300</v>
      </c>
      <c r="H384" s="3">
        <f t="shared" si="87"/>
        <v>-74652.41</v>
      </c>
      <c r="I384" s="4">
        <f t="shared" si="88"/>
        <v>-1124763060.0600002</v>
      </c>
    </row>
    <row r="385" spans="1:11" ht="15" customHeight="1" x14ac:dyDescent="0.2">
      <c r="A385" s="2">
        <v>45154</v>
      </c>
      <c r="C385" s="1" t="s">
        <v>368</v>
      </c>
      <c r="D385" s="33">
        <v>74276.009999999995</v>
      </c>
      <c r="E385" s="4">
        <v>1129730684.5</v>
      </c>
      <c r="H385" s="3">
        <f t="shared" si="87"/>
        <v>-376.40000000000873</v>
      </c>
      <c r="I385" s="4">
        <f t="shared" si="88"/>
        <v>4967624.4399998188</v>
      </c>
    </row>
    <row r="386" spans="1:11" ht="15" customHeight="1" x14ac:dyDescent="0.2">
      <c r="A386" s="2">
        <v>45169</v>
      </c>
      <c r="C386" s="1" t="s">
        <v>18</v>
      </c>
      <c r="G386" s="32">
        <v>10850756.439999999</v>
      </c>
      <c r="H386" s="6">
        <f t="shared" si="87"/>
        <v>-376.40000000000873</v>
      </c>
      <c r="I386" s="7">
        <f t="shared" si="88"/>
        <v>-5883132.0000001807</v>
      </c>
      <c r="J386" s="4">
        <v>-376.4</v>
      </c>
      <c r="K386" s="4">
        <v>-5883132</v>
      </c>
    </row>
    <row r="387" spans="1:11" ht="15" customHeight="1" x14ac:dyDescent="0.2">
      <c r="J387" s="4" t="s">
        <v>473</v>
      </c>
    </row>
    <row r="388" spans="1:11" ht="15" customHeight="1" x14ac:dyDescent="0.2">
      <c r="A388" s="5" t="s">
        <v>0</v>
      </c>
    </row>
    <row r="389" spans="1:11" ht="15" customHeight="1" x14ac:dyDescent="0.2">
      <c r="A389" s="5" t="s">
        <v>11</v>
      </c>
    </row>
    <row r="390" spans="1:11" ht="15" customHeight="1" x14ac:dyDescent="0.2">
      <c r="A390" s="5" t="s">
        <v>81</v>
      </c>
    </row>
    <row r="391" spans="1:11" ht="15" customHeight="1" x14ac:dyDescent="0.2">
      <c r="A391" s="5" t="s">
        <v>159</v>
      </c>
    </row>
    <row r="393" spans="1:11" ht="15" customHeight="1" x14ac:dyDescent="0.2">
      <c r="A393" s="9" t="s">
        <v>3</v>
      </c>
      <c r="B393" s="81" t="s">
        <v>4</v>
      </c>
      <c r="C393" s="8" t="s">
        <v>5</v>
      </c>
      <c r="D393" s="230" t="s">
        <v>6</v>
      </c>
      <c r="E393" s="229"/>
      <c r="F393" s="230" t="s">
        <v>7</v>
      </c>
      <c r="G393" s="229"/>
      <c r="H393" s="230" t="s">
        <v>8</v>
      </c>
      <c r="I393" s="229"/>
    </row>
    <row r="394" spans="1:11" ht="15" customHeight="1" x14ac:dyDescent="0.2">
      <c r="A394" s="10"/>
      <c r="B394" s="82"/>
      <c r="C394" s="11" t="s">
        <v>9</v>
      </c>
      <c r="D394" s="12"/>
      <c r="E394" s="186"/>
      <c r="F394" s="123"/>
      <c r="G394" s="180"/>
      <c r="H394" s="84">
        <v>0</v>
      </c>
      <c r="I394" s="87">
        <v>0</v>
      </c>
    </row>
    <row r="395" spans="1:11" ht="15" customHeight="1" x14ac:dyDescent="0.2">
      <c r="A395" s="83">
        <v>44630</v>
      </c>
      <c r="B395" s="85"/>
      <c r="C395" s="86" t="s">
        <v>35</v>
      </c>
      <c r="D395" s="64"/>
      <c r="E395" s="185"/>
      <c r="F395" s="124">
        <v>267993</v>
      </c>
      <c r="G395" s="181">
        <v>3851330082.9299998</v>
      </c>
      <c r="H395" s="77">
        <f t="shared" ref="H395:H403" si="89">+H394+D395-F395</f>
        <v>-267993</v>
      </c>
      <c r="I395" s="78">
        <f t="shared" ref="I395:I403" si="90">+I394+E395-G395</f>
        <v>-3851330082.9299998</v>
      </c>
    </row>
    <row r="396" spans="1:11" ht="15" customHeight="1" x14ac:dyDescent="0.2">
      <c r="A396" s="83">
        <v>44630</v>
      </c>
      <c r="B396" s="85"/>
      <c r="C396" s="86" t="s">
        <v>17</v>
      </c>
      <c r="D396" s="64"/>
      <c r="E396" s="185"/>
      <c r="F396" s="124">
        <v>57</v>
      </c>
      <c r="G396" s="181">
        <v>819147.57000000007</v>
      </c>
      <c r="H396" s="77">
        <f t="shared" si="89"/>
        <v>-268050</v>
      </c>
      <c r="I396" s="78">
        <f t="shared" si="90"/>
        <v>-3852149230.5</v>
      </c>
    </row>
    <row r="397" spans="1:11" ht="15" customHeight="1" x14ac:dyDescent="0.2">
      <c r="A397" s="76">
        <v>44826</v>
      </c>
      <c r="C397" s="75" t="s">
        <v>113</v>
      </c>
      <c r="D397" s="51"/>
      <c r="E397" s="185"/>
      <c r="F397" s="125">
        <v>6629.56</v>
      </c>
      <c r="G397" s="181">
        <v>99516325.159999996</v>
      </c>
      <c r="H397" s="77">
        <f t="shared" si="89"/>
        <v>-274679.56</v>
      </c>
      <c r="I397" s="78">
        <f t="shared" si="90"/>
        <v>-3951665555.6599998</v>
      </c>
    </row>
    <row r="398" spans="1:11" ht="15" customHeight="1" x14ac:dyDescent="0.2">
      <c r="A398" s="76">
        <v>44834</v>
      </c>
      <c r="C398" s="75" t="s">
        <v>18</v>
      </c>
      <c r="D398" s="51"/>
      <c r="E398" s="185">
        <v>7470063</v>
      </c>
      <c r="F398" s="126"/>
      <c r="G398" s="181"/>
      <c r="H398" s="77">
        <f t="shared" si="89"/>
        <v>-274679.56</v>
      </c>
      <c r="I398" s="78">
        <f t="shared" si="90"/>
        <v>-3944195492.6599998</v>
      </c>
    </row>
    <row r="399" spans="1:11" ht="15" customHeight="1" x14ac:dyDescent="0.2">
      <c r="A399" s="76">
        <v>44846</v>
      </c>
      <c r="C399" s="75" t="s">
        <v>94</v>
      </c>
      <c r="D399" s="222">
        <v>134575.6</v>
      </c>
      <c r="E399" s="185">
        <v>2051201295.2</v>
      </c>
      <c r="F399" s="126"/>
      <c r="G399" s="181"/>
      <c r="H399" s="77">
        <f t="shared" si="89"/>
        <v>-140103.96</v>
      </c>
      <c r="I399" s="78">
        <f t="shared" si="90"/>
        <v>-1892994197.4599998</v>
      </c>
    </row>
    <row r="400" spans="1:11" ht="15" customHeight="1" x14ac:dyDescent="0.2">
      <c r="A400" s="76">
        <v>44852</v>
      </c>
      <c r="C400" s="75" t="s">
        <v>95</v>
      </c>
      <c r="D400" s="222">
        <v>133709.81</v>
      </c>
      <c r="E400" s="185">
        <v>2038004924.02</v>
      </c>
      <c r="F400" s="126"/>
      <c r="G400" s="181"/>
      <c r="H400" s="77">
        <f t="shared" si="89"/>
        <v>-6394.1499999999942</v>
      </c>
      <c r="I400" s="78">
        <f t="shared" si="90"/>
        <v>145010726.56000018</v>
      </c>
    </row>
    <row r="401" spans="1:9" ht="15" customHeight="1" x14ac:dyDescent="0.2">
      <c r="A401" s="76">
        <v>44840</v>
      </c>
      <c r="C401" s="75" t="s">
        <v>110</v>
      </c>
      <c r="D401" s="51"/>
      <c r="E401" s="185"/>
      <c r="F401" s="221">
        <v>149957</v>
      </c>
      <c r="G401" s="181">
        <v>2278746572</v>
      </c>
      <c r="H401" s="77">
        <f t="shared" si="89"/>
        <v>-156351.15</v>
      </c>
      <c r="I401" s="78">
        <f t="shared" si="90"/>
        <v>-2133735845.4399998</v>
      </c>
    </row>
    <row r="402" spans="1:9" ht="15" customHeight="1" x14ac:dyDescent="0.2">
      <c r="A402" s="76">
        <v>44840</v>
      </c>
      <c r="C402" s="75" t="s">
        <v>17</v>
      </c>
      <c r="D402" s="51"/>
      <c r="E402" s="185"/>
      <c r="F402" s="221">
        <v>43</v>
      </c>
      <c r="G402" s="181">
        <v>653428</v>
      </c>
      <c r="H402" s="77">
        <f t="shared" si="89"/>
        <v>-156394.15</v>
      </c>
      <c r="I402" s="78">
        <f t="shared" si="90"/>
        <v>-2134389273.4399998</v>
      </c>
    </row>
    <row r="403" spans="1:9" ht="15" customHeight="1" x14ac:dyDescent="0.2">
      <c r="A403" s="76">
        <v>44840</v>
      </c>
      <c r="C403" s="75" t="s">
        <v>110</v>
      </c>
      <c r="D403" s="51"/>
      <c r="E403" s="185"/>
      <c r="F403" s="221">
        <f>120179.75-1937.34</f>
        <v>118242.41</v>
      </c>
      <c r="G403" s="181">
        <f>1826251481-29439818.64</f>
        <v>1796811662.3599999</v>
      </c>
      <c r="H403" s="77">
        <f t="shared" si="89"/>
        <v>-274636.56</v>
      </c>
      <c r="I403" s="78">
        <f t="shared" si="90"/>
        <v>-3931200935.7999997</v>
      </c>
    </row>
    <row r="404" spans="1:9" ht="15" customHeight="1" x14ac:dyDescent="0.2">
      <c r="A404" s="76">
        <v>44840</v>
      </c>
      <c r="C404" s="75" t="s">
        <v>17</v>
      </c>
      <c r="D404" s="51"/>
      <c r="E404" s="185"/>
      <c r="F404" s="221">
        <v>43</v>
      </c>
      <c r="G404" s="181">
        <v>653428</v>
      </c>
      <c r="H404" s="77">
        <f t="shared" ref="H404:H407" si="91">+H403+D404-F404</f>
        <v>-274679.56</v>
      </c>
      <c r="I404" s="78">
        <f t="shared" ref="I404:I407" si="92">+I403+E404-G404</f>
        <v>-3931854363.7999997</v>
      </c>
    </row>
    <row r="405" spans="1:9" ht="15" customHeight="1" x14ac:dyDescent="0.2">
      <c r="A405" s="76"/>
      <c r="C405" s="75"/>
      <c r="D405" s="51"/>
      <c r="E405" s="185"/>
      <c r="F405" s="126">
        <v>1937.34</v>
      </c>
      <c r="G405" s="181">
        <v>29439818.640000001</v>
      </c>
      <c r="H405" s="77">
        <f t="shared" ref="H405:H406" si="93">+H404+D405-F405</f>
        <v>-276616.90000000002</v>
      </c>
      <c r="I405" s="78">
        <f t="shared" ref="I405:I406" si="94">+I404+E405-G405</f>
        <v>-3961294182.4399996</v>
      </c>
    </row>
    <row r="406" spans="1:9" ht="15" customHeight="1" x14ac:dyDescent="0.2">
      <c r="A406" s="76">
        <v>44840</v>
      </c>
      <c r="C406" s="75" t="s">
        <v>180</v>
      </c>
      <c r="D406" s="51"/>
      <c r="E406" s="185"/>
      <c r="F406" s="127">
        <v>22866</v>
      </c>
      <c r="G406" s="181">
        <v>347471736</v>
      </c>
      <c r="H406" s="77">
        <f t="shared" si="93"/>
        <v>-299482.90000000002</v>
      </c>
      <c r="I406" s="78">
        <f t="shared" si="94"/>
        <v>-4308765918.4399996</v>
      </c>
    </row>
    <row r="407" spans="1:9" ht="15" customHeight="1" x14ac:dyDescent="0.2">
      <c r="A407" s="76">
        <v>44854</v>
      </c>
      <c r="C407" s="75" t="s">
        <v>111</v>
      </c>
      <c r="D407" s="51"/>
      <c r="E407" s="185"/>
      <c r="F407" s="126">
        <f>214262.87-12530.7-22530.7</f>
        <v>179201.46999999997</v>
      </c>
      <c r="G407" s="181">
        <f>3319146119.17-194113073.7-349023073.7</f>
        <v>2776009971.7700005</v>
      </c>
      <c r="H407" s="77">
        <f t="shared" si="91"/>
        <v>-478684.37</v>
      </c>
      <c r="I407" s="78">
        <f t="shared" si="92"/>
        <v>-7084775890.21</v>
      </c>
    </row>
    <row r="408" spans="1:9" ht="15" customHeight="1" x14ac:dyDescent="0.2">
      <c r="A408" s="76">
        <v>44854</v>
      </c>
      <c r="C408" s="75" t="s">
        <v>17</v>
      </c>
      <c r="D408" s="51"/>
      <c r="E408" s="185"/>
      <c r="F408" s="126">
        <v>43</v>
      </c>
      <c r="G408" s="181">
        <v>666113</v>
      </c>
      <c r="H408" s="77">
        <f t="shared" ref="H408:H409" si="95">+H407+D408-F408</f>
        <v>-478727.37</v>
      </c>
      <c r="I408" s="78">
        <f t="shared" ref="I408:I409" si="96">+I407+E408-G408</f>
        <v>-7085442003.21</v>
      </c>
    </row>
    <row r="409" spans="1:9" ht="15" customHeight="1" x14ac:dyDescent="0.2">
      <c r="A409" s="76">
        <v>44854</v>
      </c>
      <c r="C409" s="75" t="s">
        <v>446</v>
      </c>
      <c r="D409" s="51"/>
      <c r="E409" s="185"/>
      <c r="F409" s="191">
        <v>22530.7</v>
      </c>
      <c r="G409" s="181">
        <v>349023073.69999999</v>
      </c>
      <c r="H409" s="77">
        <f t="shared" si="95"/>
        <v>-501258.07</v>
      </c>
      <c r="I409" s="78">
        <f t="shared" si="96"/>
        <v>-7434465076.9099998</v>
      </c>
    </row>
    <row r="410" spans="1:9" ht="15" customHeight="1" x14ac:dyDescent="0.2">
      <c r="A410" s="76">
        <v>44854</v>
      </c>
      <c r="C410" s="75" t="s">
        <v>405</v>
      </c>
      <c r="D410" s="51"/>
      <c r="E410" s="185"/>
      <c r="F410" s="164">
        <v>12530.7</v>
      </c>
      <c r="G410" s="181">
        <v>194113073.69999999</v>
      </c>
      <c r="H410" s="77">
        <f t="shared" ref="H410" si="97">+H409+D410-F410</f>
        <v>-513788.77</v>
      </c>
      <c r="I410" s="78">
        <f t="shared" ref="I410" si="98">+I409+E410-G410</f>
        <v>-7628578150.6099997</v>
      </c>
    </row>
    <row r="411" spans="1:9" ht="15" customHeight="1" x14ac:dyDescent="0.2">
      <c r="A411" s="76">
        <v>44866</v>
      </c>
      <c r="C411" s="75" t="s">
        <v>105</v>
      </c>
      <c r="D411" s="51">
        <v>216361.9</v>
      </c>
      <c r="E411" s="185">
        <v>3359234859.4000001</v>
      </c>
      <c r="F411" s="126"/>
      <c r="G411" s="181"/>
      <c r="H411" s="77">
        <f t="shared" ref="H411" si="99">+H410+D411-F411</f>
        <v>-297426.87</v>
      </c>
      <c r="I411" s="78">
        <f t="shared" ref="I411" si="100">+I410+E411-G411</f>
        <v>-4269343291.2099996</v>
      </c>
    </row>
    <row r="412" spans="1:9" ht="15" customHeight="1" x14ac:dyDescent="0.2">
      <c r="A412" s="76"/>
      <c r="C412" s="75"/>
      <c r="D412" s="77"/>
      <c r="E412" s="185"/>
      <c r="F412" s="126"/>
      <c r="G412" s="181"/>
      <c r="H412" s="77"/>
      <c r="I412" s="78"/>
    </row>
    <row r="413" spans="1:9" ht="15" customHeight="1" x14ac:dyDescent="0.2">
      <c r="A413" s="76"/>
      <c r="C413" s="75"/>
      <c r="D413" s="77">
        <f>SUM(D399:D411)</f>
        <v>484647.31000000006</v>
      </c>
      <c r="E413" s="185"/>
      <c r="F413" s="126">
        <f>SUM(F404:F410,F401:F403,F395:F396)</f>
        <v>775444.62</v>
      </c>
      <c r="G413" s="181"/>
      <c r="H413" s="77"/>
      <c r="I413" s="78"/>
    </row>
    <row r="414" spans="1:9" ht="15" customHeight="1" x14ac:dyDescent="0.2">
      <c r="A414" s="76"/>
      <c r="C414" s="75"/>
      <c r="D414" s="77"/>
      <c r="E414" s="185"/>
      <c r="F414" s="126"/>
      <c r="G414" s="181"/>
      <c r="H414" s="77"/>
      <c r="I414" s="78"/>
    </row>
    <row r="415" spans="1:9" ht="15" customHeight="1" x14ac:dyDescent="0.2">
      <c r="A415" s="76"/>
      <c r="C415" s="75" t="s">
        <v>9</v>
      </c>
      <c r="D415" s="77"/>
      <c r="E415" s="185"/>
      <c r="F415" s="126"/>
      <c r="G415" s="181"/>
      <c r="H415" s="77">
        <v>-297426.87</v>
      </c>
      <c r="I415" s="78">
        <v>-4276813354.21</v>
      </c>
    </row>
    <row r="416" spans="1:9" ht="15" customHeight="1" x14ac:dyDescent="0.2">
      <c r="A416" s="76">
        <v>44928</v>
      </c>
      <c r="C416" s="75" t="s">
        <v>464</v>
      </c>
      <c r="E416" s="4"/>
      <c r="F416" s="77">
        <v>11484.52</v>
      </c>
      <c r="G416" s="185">
        <v>166445263.21000001</v>
      </c>
      <c r="H416" s="77">
        <f>+H415+D416-F416</f>
        <v>-308911.39</v>
      </c>
      <c r="I416" s="78">
        <f>+I415+E416-G416</f>
        <v>-4443258617.4200001</v>
      </c>
    </row>
    <row r="417" spans="1:9" ht="15" customHeight="1" x14ac:dyDescent="0.2">
      <c r="A417" s="76">
        <v>44939</v>
      </c>
      <c r="B417" s="2"/>
      <c r="C417" s="75" t="s">
        <v>141</v>
      </c>
      <c r="D417" s="77"/>
      <c r="E417" s="185"/>
      <c r="F417" s="128">
        <v>135843.88</v>
      </c>
      <c r="G417" s="181">
        <v>2087377060.0799999</v>
      </c>
      <c r="H417" s="77">
        <f>+H416+D417-F417</f>
        <v>-444755.27</v>
      </c>
      <c r="I417" s="78">
        <f>+I416+E417-G417</f>
        <v>-6530635677.5</v>
      </c>
    </row>
    <row r="418" spans="1:9" ht="15" customHeight="1" x14ac:dyDescent="0.2">
      <c r="A418" s="76">
        <v>44939</v>
      </c>
      <c r="B418" s="2"/>
      <c r="C418" s="75" t="s">
        <v>17</v>
      </c>
      <c r="D418" s="77"/>
      <c r="E418" s="185"/>
      <c r="F418" s="128">
        <v>75</v>
      </c>
      <c r="G418" s="181">
        <v>1152450</v>
      </c>
      <c r="H418" s="77">
        <f t="shared" ref="H418:I421" si="101">+H417+D418-F418</f>
        <v>-444830.27</v>
      </c>
      <c r="I418" s="78">
        <f t="shared" si="101"/>
        <v>-6531788127.5</v>
      </c>
    </row>
    <row r="419" spans="1:9" ht="15" customHeight="1" x14ac:dyDescent="0.2">
      <c r="A419" s="76">
        <v>44956</v>
      </c>
      <c r="B419" s="2"/>
      <c r="C419" s="75" t="s">
        <v>171</v>
      </c>
      <c r="D419" s="88">
        <v>135918.88</v>
      </c>
      <c r="E419" s="185">
        <v>2053598357.9200001</v>
      </c>
      <c r="F419" s="126"/>
      <c r="G419" s="181"/>
      <c r="H419" s="77">
        <f t="shared" si="101"/>
        <v>-308911.39</v>
      </c>
      <c r="I419" s="78">
        <f t="shared" si="101"/>
        <v>-4478189769.5799999</v>
      </c>
    </row>
    <row r="420" spans="1:9" ht="15" customHeight="1" x14ac:dyDescent="0.2">
      <c r="A420" s="76">
        <v>44957</v>
      </c>
      <c r="C420" s="75" t="s">
        <v>18</v>
      </c>
      <c r="D420" s="77"/>
      <c r="E420" s="185">
        <f>34931152.16-12341128.86</f>
        <v>22590023.299999997</v>
      </c>
      <c r="F420" s="126"/>
      <c r="G420" s="181"/>
      <c r="H420" s="77">
        <f t="shared" si="101"/>
        <v>-308911.39</v>
      </c>
      <c r="I420" s="78">
        <f t="shared" si="101"/>
        <v>-4455599746.2799997</v>
      </c>
    </row>
    <row r="421" spans="1:9" ht="15" customHeight="1" x14ac:dyDescent="0.2">
      <c r="A421" s="76">
        <v>44957</v>
      </c>
      <c r="B421" s="2"/>
      <c r="C421" s="75" t="s">
        <v>165</v>
      </c>
      <c r="D421" s="77"/>
      <c r="E421" s="185"/>
      <c r="F421" s="127">
        <v>201609.21</v>
      </c>
      <c r="G421" s="181">
        <v>3019904356.5900002</v>
      </c>
      <c r="H421" s="77">
        <f t="shared" si="101"/>
        <v>-510520.6</v>
      </c>
      <c r="I421" s="78">
        <f t="shared" si="101"/>
        <v>-7475504102.8699999</v>
      </c>
    </row>
    <row r="422" spans="1:9" ht="15" customHeight="1" x14ac:dyDescent="0.2">
      <c r="A422" s="76">
        <v>44957</v>
      </c>
      <c r="B422" s="2"/>
      <c r="C422" s="75" t="s">
        <v>17</v>
      </c>
      <c r="D422" s="77"/>
      <c r="E422" s="185"/>
      <c r="F422" s="127">
        <v>75</v>
      </c>
      <c r="G422" s="181">
        <v>1123425</v>
      </c>
      <c r="H422" s="77">
        <f t="shared" ref="H422:H424" si="102">+H421+D422-F422</f>
        <v>-510595.6</v>
      </c>
      <c r="I422" s="78">
        <f t="shared" ref="I422:I424" si="103">+I421+E422-G422</f>
        <v>-7476627527.8699999</v>
      </c>
    </row>
    <row r="423" spans="1:9" ht="15" customHeight="1" x14ac:dyDescent="0.2">
      <c r="A423" s="76">
        <v>44957</v>
      </c>
      <c r="B423" s="2"/>
      <c r="C423" s="1" t="s">
        <v>18</v>
      </c>
      <c r="D423" s="24"/>
      <c r="E423" s="72"/>
      <c r="F423" s="130"/>
      <c r="G423" s="139">
        <v>0</v>
      </c>
      <c r="H423" s="79">
        <f t="shared" si="102"/>
        <v>-510595.6</v>
      </c>
      <c r="I423" s="80">
        <f t="shared" si="103"/>
        <v>-7476627527.8699999</v>
      </c>
    </row>
    <row r="424" spans="1:9" ht="15" customHeight="1" x14ac:dyDescent="0.2">
      <c r="A424" s="2">
        <v>44963</v>
      </c>
      <c r="C424" s="1" t="s">
        <v>170</v>
      </c>
      <c r="D424" s="14">
        <v>224550.21</v>
      </c>
      <c r="E424" s="32">
        <v>3358822041.1799998</v>
      </c>
      <c r="H424" s="77">
        <f t="shared" si="102"/>
        <v>-286045.39</v>
      </c>
      <c r="I424" s="78">
        <f t="shared" si="103"/>
        <v>-4117805486.6900001</v>
      </c>
    </row>
    <row r="425" spans="1:9" ht="15" customHeight="1" x14ac:dyDescent="0.2">
      <c r="A425" s="2">
        <v>44972</v>
      </c>
      <c r="C425" s="1" t="s">
        <v>221</v>
      </c>
      <c r="F425" s="120">
        <v>150707.67000000001</v>
      </c>
      <c r="G425" s="151">
        <v>2285933938.5599999</v>
      </c>
      <c r="H425" s="77">
        <f t="shared" ref="H425:H426" si="104">+H424+D425-F425</f>
        <v>-436753.06000000006</v>
      </c>
      <c r="I425" s="78">
        <f t="shared" ref="I425:I426" si="105">+I424+E425-G425</f>
        <v>-6403739425.25</v>
      </c>
    </row>
    <row r="426" spans="1:9" ht="15" customHeight="1" x14ac:dyDescent="0.2">
      <c r="A426" s="2">
        <v>44972</v>
      </c>
      <c r="C426" s="1" t="s">
        <v>17</v>
      </c>
      <c r="F426" s="120">
        <v>75</v>
      </c>
      <c r="G426" s="151">
        <v>1137600</v>
      </c>
      <c r="H426" s="77">
        <f t="shared" si="104"/>
        <v>-436828.06000000006</v>
      </c>
      <c r="I426" s="78">
        <f t="shared" si="105"/>
        <v>-6404877025.25</v>
      </c>
    </row>
    <row r="427" spans="1:9" ht="15" customHeight="1" x14ac:dyDescent="0.2">
      <c r="A427" s="2">
        <v>44985</v>
      </c>
      <c r="C427" s="1" t="s">
        <v>18</v>
      </c>
      <c r="E427" s="32">
        <v>9677476.4100000001</v>
      </c>
      <c r="H427" s="79">
        <f t="shared" ref="H427" si="106">+H426+D427-F427</f>
        <v>-436828.06000000006</v>
      </c>
      <c r="I427" s="80">
        <f t="shared" ref="I427" si="107">+I426+E427-G427</f>
        <v>-6395199548.8400002</v>
      </c>
    </row>
    <row r="428" spans="1:9" ht="15" customHeight="1" x14ac:dyDescent="0.2">
      <c r="A428" s="2">
        <v>44988</v>
      </c>
      <c r="C428" s="1" t="s">
        <v>202</v>
      </c>
      <c r="D428" s="18">
        <v>150782.67000000001</v>
      </c>
      <c r="E428" s="32">
        <v>2290991887.98</v>
      </c>
      <c r="H428" s="77">
        <f t="shared" ref="H428:H433" si="108">+H427+D428-F428</f>
        <v>-286045.39</v>
      </c>
      <c r="I428" s="78">
        <f t="shared" ref="I428:I433" si="109">+I427+E428-G428</f>
        <v>-4104207660.8600001</v>
      </c>
    </row>
    <row r="429" spans="1:9" ht="15" customHeight="1" x14ac:dyDescent="0.2">
      <c r="A429" s="2">
        <v>45016</v>
      </c>
      <c r="C429" s="1" t="s">
        <v>203</v>
      </c>
      <c r="D429" s="41">
        <v>282536.67</v>
      </c>
      <c r="E429" s="32">
        <v>4323941197.6799994</v>
      </c>
      <c r="H429" s="77">
        <f t="shared" si="108"/>
        <v>-3508.7200000000303</v>
      </c>
      <c r="I429" s="78">
        <f t="shared" si="109"/>
        <v>219733536.81999922</v>
      </c>
    </row>
    <row r="430" spans="1:9" ht="15" customHeight="1" x14ac:dyDescent="0.2">
      <c r="A430" s="2">
        <v>45000</v>
      </c>
      <c r="C430" s="1" t="s">
        <v>222</v>
      </c>
      <c r="F430" s="223">
        <v>150707.67000000001</v>
      </c>
      <c r="G430" s="151">
        <v>2317883964.5999999</v>
      </c>
      <c r="H430" s="77">
        <f t="shared" si="108"/>
        <v>-154216.39000000004</v>
      </c>
      <c r="I430" s="78">
        <f t="shared" si="109"/>
        <v>-2098150427.7800007</v>
      </c>
    </row>
    <row r="431" spans="1:9" ht="15" customHeight="1" x14ac:dyDescent="0.2">
      <c r="A431" s="2">
        <v>45000</v>
      </c>
      <c r="C431" s="1" t="s">
        <v>17</v>
      </c>
      <c r="F431" s="223">
        <v>75</v>
      </c>
      <c r="G431" s="151">
        <v>1153500</v>
      </c>
      <c r="H431" s="77">
        <f t="shared" si="108"/>
        <v>-154291.39000000004</v>
      </c>
      <c r="I431" s="78">
        <f t="shared" si="109"/>
        <v>-2099303927.7800007</v>
      </c>
    </row>
    <row r="432" spans="1:9" ht="15" customHeight="1" x14ac:dyDescent="0.2">
      <c r="A432" s="2">
        <v>45001</v>
      </c>
      <c r="C432" s="1" t="s">
        <v>223</v>
      </c>
      <c r="F432" s="224">
        <f>139580.29-7869.29</f>
        <v>131711</v>
      </c>
      <c r="G432" s="151">
        <v>2144651155.8499999</v>
      </c>
      <c r="H432" s="77">
        <f t="shared" si="108"/>
        <v>-286002.39</v>
      </c>
      <c r="I432" s="78">
        <f t="shared" si="109"/>
        <v>-4243955083.6300006</v>
      </c>
    </row>
    <row r="433" spans="1:11" ht="15" customHeight="1" x14ac:dyDescent="0.2">
      <c r="A433" s="2">
        <v>45001</v>
      </c>
      <c r="C433" s="1" t="s">
        <v>17</v>
      </c>
      <c r="F433" s="224">
        <v>43</v>
      </c>
      <c r="G433" s="151">
        <v>660695</v>
      </c>
      <c r="H433" s="77">
        <f t="shared" si="108"/>
        <v>-286045.39</v>
      </c>
      <c r="I433" s="78">
        <f t="shared" si="109"/>
        <v>-4244615778.6300006</v>
      </c>
    </row>
    <row r="434" spans="1:11" ht="15" customHeight="1" x14ac:dyDescent="0.2">
      <c r="A434" s="2">
        <v>45001</v>
      </c>
      <c r="C434" s="1" t="s">
        <v>457</v>
      </c>
      <c r="F434" s="102">
        <v>7869.29</v>
      </c>
      <c r="G434" s="151">
        <v>120911640.84999999</v>
      </c>
      <c r="H434" s="77">
        <f t="shared" ref="H434:H435" si="110">+H433+D434-F434</f>
        <v>-293914.68</v>
      </c>
      <c r="I434" s="78">
        <f t="shared" ref="I434:I435" si="111">+I433+E434-G434</f>
        <v>-4365527419.4800005</v>
      </c>
    </row>
    <row r="435" spans="1:11" ht="15" customHeight="1" x14ac:dyDescent="0.2">
      <c r="A435" s="2">
        <v>45016</v>
      </c>
      <c r="C435" s="1" t="s">
        <v>18</v>
      </c>
      <c r="E435" s="151">
        <v>136487768.34999999</v>
      </c>
      <c r="H435" s="77">
        <f t="shared" si="110"/>
        <v>-293914.68</v>
      </c>
      <c r="I435" s="78">
        <f t="shared" si="111"/>
        <v>-4229039651.1300006</v>
      </c>
    </row>
    <row r="436" spans="1:11" ht="15" customHeight="1" x14ac:dyDescent="0.2">
      <c r="A436" s="2">
        <v>45176</v>
      </c>
      <c r="B436" s="2"/>
      <c r="C436" s="1" t="s">
        <v>398</v>
      </c>
      <c r="F436" s="3">
        <f>69829.42-67749.87</f>
        <v>2079.5500000000029</v>
      </c>
      <c r="G436" s="32">
        <f>1068878931.94-1037047260.09</f>
        <v>31831671.850000024</v>
      </c>
      <c r="H436" s="77">
        <f t="shared" ref="H436:I439" si="112">+H435+D436-F436</f>
        <v>-295994.23</v>
      </c>
      <c r="I436" s="78">
        <f t="shared" si="112"/>
        <v>-4260871322.9800005</v>
      </c>
    </row>
    <row r="437" spans="1:11" ht="15" customHeight="1" x14ac:dyDescent="0.2">
      <c r="A437" s="2">
        <v>45176</v>
      </c>
      <c r="B437" s="2"/>
      <c r="C437" s="1" t="s">
        <v>399</v>
      </c>
      <c r="F437" s="161">
        <v>67749.87</v>
      </c>
      <c r="G437" s="32">
        <v>1037047260.09</v>
      </c>
      <c r="H437" s="77">
        <f t="shared" si="112"/>
        <v>-363744.1</v>
      </c>
      <c r="I437" s="78">
        <f t="shared" si="112"/>
        <v>-5297918583.0700006</v>
      </c>
      <c r="J437" s="1"/>
      <c r="K437" s="1"/>
    </row>
    <row r="438" spans="1:11" ht="15" customHeight="1" x14ac:dyDescent="0.2">
      <c r="A438" s="2">
        <v>45176</v>
      </c>
      <c r="B438" s="2"/>
      <c r="C438" s="1" t="s">
        <v>17</v>
      </c>
      <c r="F438" s="3">
        <v>5</v>
      </c>
      <c r="G438" s="32">
        <v>76535</v>
      </c>
      <c r="H438" s="77">
        <f t="shared" si="112"/>
        <v>-363749.1</v>
      </c>
      <c r="I438" s="78">
        <f t="shared" si="112"/>
        <v>-5297995118.0700006</v>
      </c>
    </row>
    <row r="439" spans="1:11" ht="15" customHeight="1" x14ac:dyDescent="0.2">
      <c r="A439" s="2">
        <v>45183</v>
      </c>
      <c r="B439" s="2"/>
      <c r="C439" s="1" t="s">
        <v>192</v>
      </c>
      <c r="D439" s="161">
        <v>67749.87</v>
      </c>
      <c r="E439" s="32">
        <v>1036437511.26</v>
      </c>
      <c r="H439" s="77">
        <f t="shared" si="112"/>
        <v>-295999.23</v>
      </c>
      <c r="I439" s="78">
        <f t="shared" si="112"/>
        <v>-4261557606.8100004</v>
      </c>
    </row>
    <row r="440" spans="1:11" ht="15" customHeight="1" x14ac:dyDescent="0.2">
      <c r="A440" s="2">
        <v>45199</v>
      </c>
      <c r="C440" s="1" t="s">
        <v>18</v>
      </c>
      <c r="E440" s="32">
        <v>609748.83000004303</v>
      </c>
      <c r="H440" s="79">
        <f t="shared" ref="H440" si="113">+H439+D440-F440</f>
        <v>-295999.23</v>
      </c>
      <c r="I440" s="80">
        <f t="shared" ref="I440" si="114">+I439+E440-G440</f>
        <v>-4260947857.9800005</v>
      </c>
    </row>
    <row r="441" spans="1:11" ht="15" customHeight="1" x14ac:dyDescent="0.2">
      <c r="A441" s="2">
        <v>45202</v>
      </c>
      <c r="B441" s="2"/>
      <c r="C441" s="1" t="s">
        <v>405</v>
      </c>
      <c r="F441" s="16">
        <v>54806.96</v>
      </c>
      <c r="G441" s="32">
        <v>850549212.24000001</v>
      </c>
      <c r="H441" s="77">
        <f t="shared" ref="H441:H443" si="115">+H440+D441-F441</f>
        <v>-350806.19</v>
      </c>
      <c r="I441" s="78">
        <f t="shared" ref="I441:I443" si="116">+I440+E441-G441</f>
        <v>-5111497070.2200003</v>
      </c>
      <c r="J441" s="1"/>
      <c r="K441" s="1"/>
    </row>
    <row r="442" spans="1:11" ht="15" customHeight="1" x14ac:dyDescent="0.2">
      <c r="A442" s="212">
        <v>45202</v>
      </c>
      <c r="B442" s="212"/>
      <c r="C442" s="40" t="s">
        <v>17</v>
      </c>
      <c r="D442" s="177"/>
      <c r="E442" s="208"/>
      <c r="F442" s="213">
        <v>5</v>
      </c>
      <c r="G442" s="208">
        <v>77595</v>
      </c>
      <c r="H442" s="77">
        <f t="shared" si="115"/>
        <v>-350811.19</v>
      </c>
      <c r="I442" s="78">
        <f t="shared" si="116"/>
        <v>-5111574665.2200003</v>
      </c>
      <c r="J442" s="1"/>
      <c r="K442" s="1"/>
    </row>
    <row r="443" spans="1:11" ht="15" customHeight="1" x14ac:dyDescent="0.2">
      <c r="A443" s="2">
        <v>45205</v>
      </c>
      <c r="C443" s="1" t="s">
        <v>402</v>
      </c>
      <c r="D443" s="16">
        <v>67342.66</v>
      </c>
      <c r="E443" s="32">
        <v>1041723607.5400001</v>
      </c>
      <c r="H443" s="77">
        <f t="shared" si="115"/>
        <v>-283468.53000000003</v>
      </c>
      <c r="I443" s="78">
        <f t="shared" si="116"/>
        <v>-4069851057.6800003</v>
      </c>
    </row>
    <row r="444" spans="1:11" ht="15" customHeight="1" x14ac:dyDescent="0.2">
      <c r="A444" s="2">
        <v>45230</v>
      </c>
      <c r="C444" s="1" t="s">
        <v>18</v>
      </c>
      <c r="E444" s="32">
        <v>3016273.4</v>
      </c>
      <c r="H444" s="79">
        <f t="shared" ref="H444" si="117">+H443+D444-F444</f>
        <v>-283468.53000000003</v>
      </c>
      <c r="I444" s="80">
        <f t="shared" ref="I444" si="118">+I443+E444-G444</f>
        <v>-4066834784.2800002</v>
      </c>
    </row>
    <row r="445" spans="1:11" ht="15" customHeight="1" x14ac:dyDescent="0.2">
      <c r="A445" s="2">
        <v>45273</v>
      </c>
      <c r="C445" s="1" t="s">
        <v>442</v>
      </c>
      <c r="D445" s="66">
        <v>66628.23</v>
      </c>
      <c r="E445" s="32">
        <v>1032604308.54</v>
      </c>
      <c r="F445" s="17"/>
      <c r="G445" s="32"/>
      <c r="H445" s="3">
        <f t="shared" ref="H445:I448" si="119">+H444+D445-F445</f>
        <v>-216840.30000000005</v>
      </c>
      <c r="I445" s="4">
        <f t="shared" si="119"/>
        <v>-3034230475.7400002</v>
      </c>
    </row>
    <row r="446" spans="1:11" ht="15" customHeight="1" x14ac:dyDescent="0.2">
      <c r="A446" s="2">
        <v>45266</v>
      </c>
      <c r="B446" s="2"/>
      <c r="C446" s="1" t="s">
        <v>446</v>
      </c>
      <c r="F446" s="66">
        <v>44092.53</v>
      </c>
      <c r="G446" s="32">
        <v>683610585.12</v>
      </c>
      <c r="H446" s="3">
        <f t="shared" si="119"/>
        <v>-260932.83000000005</v>
      </c>
      <c r="I446" s="4">
        <f t="shared" si="119"/>
        <v>-3717841060.8600001</v>
      </c>
    </row>
    <row r="447" spans="1:11" ht="15" customHeight="1" x14ac:dyDescent="0.2">
      <c r="A447" s="2">
        <v>45266</v>
      </c>
      <c r="B447" s="2"/>
      <c r="C447" s="1" t="s">
        <v>17</v>
      </c>
      <c r="F447" s="66">
        <v>5</v>
      </c>
      <c r="G447" s="32">
        <v>77520</v>
      </c>
      <c r="H447" s="3">
        <f t="shared" si="119"/>
        <v>-260937.83000000005</v>
      </c>
      <c r="I447" s="4">
        <f t="shared" si="119"/>
        <v>-3717918580.8600001</v>
      </c>
    </row>
    <row r="448" spans="1:11" ht="15" customHeight="1" x14ac:dyDescent="0.2">
      <c r="A448" s="2">
        <v>45291</v>
      </c>
      <c r="C448" s="1" t="s">
        <v>18</v>
      </c>
      <c r="E448" s="32">
        <v>106870.28</v>
      </c>
      <c r="H448" s="3">
        <f t="shared" si="119"/>
        <v>-260937.83000000005</v>
      </c>
      <c r="I448" s="4">
        <f t="shared" si="119"/>
        <v>-3717811710.5799999</v>
      </c>
      <c r="J448" s="4">
        <v>-260937.83</v>
      </c>
      <c r="K448" s="4">
        <v>-3717811710.5799999</v>
      </c>
    </row>
    <row r="461" spans="1:8" ht="15" customHeight="1" x14ac:dyDescent="0.2">
      <c r="A461" s="5" t="s">
        <v>0</v>
      </c>
    </row>
    <row r="462" spans="1:8" ht="15" customHeight="1" x14ac:dyDescent="0.2">
      <c r="A462" s="5" t="s">
        <v>11</v>
      </c>
    </row>
    <row r="463" spans="1:8" ht="15" customHeight="1" x14ac:dyDescent="0.2">
      <c r="A463" s="5" t="s">
        <v>41</v>
      </c>
    </row>
    <row r="464" spans="1:8" ht="15" customHeight="1" x14ac:dyDescent="0.2">
      <c r="A464" s="5" t="s">
        <v>159</v>
      </c>
      <c r="H464" s="3" t="s">
        <v>108</v>
      </c>
    </row>
    <row r="466" spans="1:11" ht="15" customHeight="1" x14ac:dyDescent="0.2">
      <c r="A466" s="9" t="s">
        <v>3</v>
      </c>
      <c r="B466" s="8" t="s">
        <v>4</v>
      </c>
      <c r="C466" s="8" t="s">
        <v>5</v>
      </c>
      <c r="D466" s="229" t="s">
        <v>6</v>
      </c>
      <c r="E466" s="229"/>
      <c r="F466" s="229" t="s">
        <v>7</v>
      </c>
      <c r="G466" s="229"/>
      <c r="H466" s="229" t="s">
        <v>8</v>
      </c>
      <c r="I466" s="229"/>
    </row>
    <row r="467" spans="1:11" ht="15" customHeight="1" x14ac:dyDescent="0.2">
      <c r="A467" s="10"/>
      <c r="B467" s="11"/>
      <c r="C467" s="11" t="s">
        <v>9</v>
      </c>
      <c r="D467" s="12"/>
      <c r="E467" s="183"/>
      <c r="F467" s="103"/>
      <c r="G467" s="179"/>
      <c r="H467" s="12"/>
      <c r="I467" s="13"/>
    </row>
    <row r="468" spans="1:11" ht="15" customHeight="1" x14ac:dyDescent="0.2">
      <c r="A468" s="62">
        <v>44625</v>
      </c>
      <c r="B468" s="63"/>
      <c r="C468" s="63" t="s">
        <v>125</v>
      </c>
      <c r="D468" s="64"/>
      <c r="E468" s="55"/>
      <c r="F468" s="129">
        <f>52930-40000</f>
        <v>12930</v>
      </c>
      <c r="G468" s="137">
        <f>760763419.3-574920400</f>
        <v>185843019.29999995</v>
      </c>
      <c r="H468" s="51"/>
      <c r="I468" s="50"/>
    </row>
    <row r="469" spans="1:11" ht="15" customHeight="1" x14ac:dyDescent="0.2">
      <c r="A469" s="62">
        <v>44625</v>
      </c>
      <c r="B469" s="63"/>
      <c r="C469" s="63" t="s">
        <v>17</v>
      </c>
      <c r="D469" s="64"/>
      <c r="E469" s="55"/>
      <c r="F469" s="104">
        <v>30</v>
      </c>
      <c r="G469" s="137">
        <v>431190.3</v>
      </c>
      <c r="H469" s="52"/>
      <c r="I469" s="53"/>
    </row>
    <row r="470" spans="1:11" ht="15" customHeight="1" x14ac:dyDescent="0.2">
      <c r="A470" s="62">
        <v>44740</v>
      </c>
      <c r="B470" s="63"/>
      <c r="C470" s="63" t="s">
        <v>126</v>
      </c>
      <c r="D470" s="64"/>
      <c r="E470" s="55"/>
      <c r="F470" s="104">
        <f>56166-18732-10000</f>
        <v>27434</v>
      </c>
      <c r="G470" s="137">
        <f>554098068-148020000</f>
        <v>406078068</v>
      </c>
      <c r="H470" s="51"/>
      <c r="I470" s="50"/>
    </row>
    <row r="471" spans="1:11" ht="15" customHeight="1" x14ac:dyDescent="0.2">
      <c r="A471" s="62">
        <v>44740</v>
      </c>
      <c r="B471" s="63"/>
      <c r="C471" s="63" t="s">
        <v>17</v>
      </c>
      <c r="D471" s="64"/>
      <c r="E471" s="55"/>
      <c r="F471" s="104">
        <v>30</v>
      </c>
      <c r="G471" s="137">
        <v>444060</v>
      </c>
      <c r="H471" s="52"/>
      <c r="I471" s="53"/>
    </row>
    <row r="473" spans="1:11" ht="15" customHeight="1" x14ac:dyDescent="0.2">
      <c r="C473" s="1" t="s">
        <v>9</v>
      </c>
      <c r="H473" s="3">
        <v>-40424</v>
      </c>
      <c r="I473" s="4">
        <v>-592796337.60000002</v>
      </c>
    </row>
    <row r="474" spans="1:11" ht="15" customHeight="1" x14ac:dyDescent="0.2">
      <c r="A474" s="2">
        <v>45243</v>
      </c>
      <c r="C474" s="1" t="s">
        <v>438</v>
      </c>
      <c r="D474" s="3">
        <v>40424</v>
      </c>
      <c r="E474" s="32">
        <v>592796337.60000002</v>
      </c>
      <c r="H474" s="3">
        <f>+H473+D474-F474</f>
        <v>0</v>
      </c>
      <c r="I474" s="4">
        <f>+I473+E474-G474</f>
        <v>0</v>
      </c>
      <c r="J474" s="4">
        <v>0</v>
      </c>
      <c r="K474" s="4">
        <v>0</v>
      </c>
    </row>
    <row r="478" spans="1:11" ht="15" customHeight="1" x14ac:dyDescent="0.2">
      <c r="A478" s="5" t="s">
        <v>0</v>
      </c>
    </row>
    <row r="479" spans="1:11" ht="15" customHeight="1" x14ac:dyDescent="0.2">
      <c r="A479" s="5" t="s">
        <v>11</v>
      </c>
    </row>
    <row r="480" spans="1:11" ht="15" customHeight="1" x14ac:dyDescent="0.2">
      <c r="A480" s="5" t="s">
        <v>43</v>
      </c>
    </row>
    <row r="481" spans="1:9" ht="15" customHeight="1" x14ac:dyDescent="0.2">
      <c r="A481" s="5" t="s">
        <v>159</v>
      </c>
    </row>
    <row r="483" spans="1:9" ht="15" customHeight="1" x14ac:dyDescent="0.2">
      <c r="A483" s="9" t="s">
        <v>3</v>
      </c>
      <c r="B483" s="8" t="s">
        <v>4</v>
      </c>
      <c r="C483" s="8" t="s">
        <v>5</v>
      </c>
      <c r="D483" s="229" t="s">
        <v>6</v>
      </c>
      <c r="E483" s="229"/>
      <c r="F483" s="229" t="s">
        <v>7</v>
      </c>
      <c r="G483" s="229"/>
      <c r="H483" s="229" t="s">
        <v>8</v>
      </c>
      <c r="I483" s="229"/>
    </row>
    <row r="484" spans="1:9" ht="15" customHeight="1" x14ac:dyDescent="0.2">
      <c r="A484" s="10"/>
      <c r="B484" s="11"/>
      <c r="C484" s="11" t="s">
        <v>9</v>
      </c>
      <c r="D484" s="12"/>
      <c r="E484" s="183"/>
      <c r="F484" s="103"/>
      <c r="G484" s="179"/>
      <c r="H484" s="12">
        <v>0</v>
      </c>
      <c r="I484" s="13">
        <v>0</v>
      </c>
    </row>
    <row r="485" spans="1:9" ht="15" customHeight="1" x14ac:dyDescent="0.2">
      <c r="A485" s="48">
        <v>44847</v>
      </c>
      <c r="B485" s="49"/>
      <c r="C485" s="49" t="s">
        <v>177</v>
      </c>
      <c r="D485" s="51"/>
      <c r="E485" s="55"/>
      <c r="F485" s="107">
        <f>172240.8-50000-50000-30000</f>
        <v>42240.799999999988</v>
      </c>
      <c r="G485" s="137">
        <f>2647857818.4-768650000-768650000-461190000</f>
        <v>649367818.4000001</v>
      </c>
      <c r="H485" s="51">
        <f>+H484+D485-F485</f>
        <v>-42240.799999999988</v>
      </c>
      <c r="I485" s="50">
        <f>+I484+E485-G485</f>
        <v>-649367818.4000001</v>
      </c>
    </row>
    <row r="486" spans="1:9" ht="15" customHeight="1" x14ac:dyDescent="0.2">
      <c r="A486" s="48">
        <v>44847</v>
      </c>
      <c r="B486" s="49"/>
      <c r="C486" s="49" t="s">
        <v>17</v>
      </c>
      <c r="D486" s="51"/>
      <c r="E486" s="55"/>
      <c r="F486" s="107">
        <v>30</v>
      </c>
      <c r="G486" s="137">
        <v>461190</v>
      </c>
      <c r="H486" s="51">
        <f t="shared" ref="H486:H488" si="120">+H485+D486-F486</f>
        <v>-42270.799999999988</v>
      </c>
      <c r="I486" s="50">
        <f t="shared" ref="I486:I488" si="121">+I485+E486-G486</f>
        <v>-649829008.4000001</v>
      </c>
    </row>
    <row r="487" spans="1:9" ht="15" customHeight="1" x14ac:dyDescent="0.2">
      <c r="A487" s="48">
        <v>44908</v>
      </c>
      <c r="B487" s="49"/>
      <c r="C487" s="1" t="s">
        <v>259</v>
      </c>
      <c r="D487" s="51"/>
      <c r="E487" s="55"/>
      <c r="F487" s="118">
        <f>79610.4-30000-24000</f>
        <v>25610.399999999994</v>
      </c>
      <c r="G487" s="137">
        <f>1245265876.8-469260000-375408000</f>
        <v>400597876.79999995</v>
      </c>
      <c r="H487" s="51">
        <f>+H486+D487-F487</f>
        <v>-67881.199999999983</v>
      </c>
      <c r="I487" s="50">
        <f>+I486+E487-G487</f>
        <v>-1050426885.2</v>
      </c>
    </row>
    <row r="488" spans="1:9" ht="15" customHeight="1" x14ac:dyDescent="0.2">
      <c r="A488" s="48">
        <v>44908</v>
      </c>
      <c r="B488" s="49"/>
      <c r="C488" s="1" t="s">
        <v>259</v>
      </c>
      <c r="D488" s="51"/>
      <c r="E488" s="55"/>
      <c r="F488" s="118">
        <v>30</v>
      </c>
      <c r="G488" s="137">
        <v>469260</v>
      </c>
      <c r="H488" s="51">
        <f t="shared" si="120"/>
        <v>-67911.199999999983</v>
      </c>
      <c r="I488" s="50">
        <f t="shared" si="121"/>
        <v>-1050896145.2</v>
      </c>
    </row>
    <row r="489" spans="1:9" ht="15" customHeight="1" x14ac:dyDescent="0.2">
      <c r="C489" s="49" t="s">
        <v>177</v>
      </c>
      <c r="D489" s="24"/>
      <c r="E489" s="72"/>
      <c r="F489" s="130">
        <v>30000</v>
      </c>
      <c r="G489" s="139">
        <v>469260000</v>
      </c>
      <c r="H489" s="24"/>
      <c r="I489" s="25"/>
    </row>
    <row r="490" spans="1:9" ht="15" customHeight="1" x14ac:dyDescent="0.2">
      <c r="C490" s="1" t="s">
        <v>225</v>
      </c>
      <c r="D490" s="24"/>
      <c r="E490" s="72"/>
      <c r="F490" s="131">
        <v>24000</v>
      </c>
      <c r="G490" s="139">
        <v>375408000</v>
      </c>
      <c r="H490" s="24"/>
      <c r="I490" s="25"/>
    </row>
    <row r="492" spans="1:9" ht="15" customHeight="1" x14ac:dyDescent="0.2">
      <c r="C492" s="1" t="s">
        <v>9</v>
      </c>
      <c r="H492" s="3">
        <v>-121911.2</v>
      </c>
      <c r="I492" s="4">
        <v>-1895564145.1999979</v>
      </c>
    </row>
    <row r="493" spans="1:9" ht="15" customHeight="1" x14ac:dyDescent="0.2">
      <c r="A493" s="2">
        <v>44966</v>
      </c>
      <c r="C493" s="1" t="s">
        <v>172</v>
      </c>
      <c r="D493" s="14">
        <v>289170.52</v>
      </c>
      <c r="E493" s="32">
        <v>4321942591.9200001</v>
      </c>
      <c r="H493" s="3">
        <f>+H492+D493-F493</f>
        <v>167259.32</v>
      </c>
      <c r="I493" s="4">
        <f>+I492+E493-G493</f>
        <v>2426378446.7200022</v>
      </c>
    </row>
    <row r="494" spans="1:9" ht="15" customHeight="1" x14ac:dyDescent="0.2">
      <c r="A494" s="2">
        <v>44966</v>
      </c>
      <c r="C494" s="49" t="s">
        <v>177</v>
      </c>
      <c r="F494" s="132">
        <v>216869.72</v>
      </c>
      <c r="G494" s="151">
        <v>3279503905.8400002</v>
      </c>
      <c r="H494" s="3">
        <f t="shared" ref="H494:H503" si="122">+H493+D494-F494</f>
        <v>-49610.399999999994</v>
      </c>
      <c r="I494" s="4">
        <f t="shared" ref="I494:I495" si="123">+I493+E494-G494</f>
        <v>-853125459.11999798</v>
      </c>
    </row>
    <row r="495" spans="1:9" ht="15" customHeight="1" x14ac:dyDescent="0.2">
      <c r="A495" s="2">
        <v>44966</v>
      </c>
      <c r="C495" s="1" t="s">
        <v>17</v>
      </c>
      <c r="F495" s="132">
        <v>30</v>
      </c>
      <c r="G495" s="151">
        <v>453660</v>
      </c>
      <c r="H495" s="3">
        <f t="shared" si="122"/>
        <v>-49640.399999999994</v>
      </c>
      <c r="I495" s="4">
        <f t="shared" si="123"/>
        <v>-853579119.11999798</v>
      </c>
    </row>
    <row r="496" spans="1:9" ht="15" customHeight="1" x14ac:dyDescent="0.2">
      <c r="A496" s="2">
        <v>44970</v>
      </c>
      <c r="B496" s="2"/>
      <c r="C496" s="1" t="s">
        <v>189</v>
      </c>
      <c r="D496" s="24"/>
      <c r="E496" s="72"/>
      <c r="F496" s="114">
        <f>104061.4-46996.16-41636.56</f>
        <v>15428.679999999993</v>
      </c>
      <c r="G496" s="139">
        <f>1575489596-711521862.4-630377518.4</f>
        <v>233590215.20000005</v>
      </c>
      <c r="H496" s="3">
        <f t="shared" si="122"/>
        <v>-65069.079999999987</v>
      </c>
      <c r="I496" s="4">
        <f t="shared" ref="I496" si="124">+I495+E496-G496</f>
        <v>-1087169334.319998</v>
      </c>
    </row>
    <row r="497" spans="1:9" ht="15" customHeight="1" x14ac:dyDescent="0.2">
      <c r="A497" s="2">
        <v>44970</v>
      </c>
      <c r="B497" s="2"/>
      <c r="C497" s="1" t="s">
        <v>278</v>
      </c>
      <c r="D497" s="24"/>
      <c r="E497" s="72"/>
      <c r="F497" s="165">
        <v>41636.559999999998</v>
      </c>
      <c r="G497" s="139">
        <v>630377518.39999998</v>
      </c>
      <c r="H497" s="3">
        <f t="shared" ref="H497:H498" si="125">+H496+D497-F497</f>
        <v>-106705.63999999998</v>
      </c>
      <c r="I497" s="4">
        <f t="shared" ref="I497:I498" si="126">+I496+E497-G497</f>
        <v>-1717546852.7199979</v>
      </c>
    </row>
    <row r="498" spans="1:9" ht="15" customHeight="1" x14ac:dyDescent="0.2">
      <c r="A498" s="2">
        <v>44970</v>
      </c>
      <c r="B498" s="2"/>
      <c r="C498" s="2" t="s">
        <v>259</v>
      </c>
      <c r="D498" s="24"/>
      <c r="E498" s="72"/>
      <c r="F498" s="149">
        <v>46996.160000000003</v>
      </c>
      <c r="G498" s="139">
        <v>711521862.39999998</v>
      </c>
      <c r="H498" s="3">
        <f t="shared" si="125"/>
        <v>-153701.79999999999</v>
      </c>
      <c r="I498" s="4">
        <f t="shared" si="126"/>
        <v>-2429068715.119998</v>
      </c>
    </row>
    <row r="499" spans="1:9" ht="15" customHeight="1" x14ac:dyDescent="0.2">
      <c r="A499" s="2">
        <v>44970</v>
      </c>
      <c r="B499" s="2"/>
      <c r="C499" s="1" t="s">
        <v>17</v>
      </c>
      <c r="D499" s="24"/>
      <c r="E499" s="72"/>
      <c r="F499" s="114">
        <v>30</v>
      </c>
      <c r="G499" s="139">
        <v>454200</v>
      </c>
      <c r="H499" s="3">
        <f t="shared" si="122"/>
        <v>-153731.79999999999</v>
      </c>
      <c r="I499" s="4">
        <f t="shared" ref="I499" si="127">+I498+E499-G499</f>
        <v>-2429522915.119998</v>
      </c>
    </row>
    <row r="500" spans="1:9" ht="15" customHeight="1" x14ac:dyDescent="0.2">
      <c r="A500" s="2">
        <v>44985</v>
      </c>
      <c r="C500" s="1" t="s">
        <v>18</v>
      </c>
      <c r="E500" s="32">
        <v>77103982.319999993</v>
      </c>
      <c r="H500" s="6">
        <f t="shared" si="122"/>
        <v>-153731.79999999999</v>
      </c>
      <c r="I500" s="7">
        <f>+I499+E500-G500</f>
        <v>-2352418932.7999978</v>
      </c>
    </row>
    <row r="501" spans="1:9" ht="15" customHeight="1" x14ac:dyDescent="0.2">
      <c r="A501" s="2">
        <v>45012</v>
      </c>
      <c r="C501" s="1" t="s">
        <v>204</v>
      </c>
      <c r="D501" s="18">
        <v>139948.91</v>
      </c>
      <c r="E501" s="32">
        <v>2152554184.71</v>
      </c>
      <c r="H501" s="3">
        <f t="shared" si="122"/>
        <v>-13782.889999999985</v>
      </c>
      <c r="I501" s="4">
        <f t="shared" ref="I501:I503" si="128">+I500+E501-G501</f>
        <v>-199864748.08999777</v>
      </c>
    </row>
    <row r="502" spans="1:9" ht="15" customHeight="1" x14ac:dyDescent="0.2">
      <c r="A502" s="2">
        <v>45015</v>
      </c>
      <c r="C502" s="1" t="s">
        <v>225</v>
      </c>
      <c r="F502" s="120">
        <v>115918.91</v>
      </c>
      <c r="G502" s="151">
        <v>1749680027.54</v>
      </c>
      <c r="H502" s="3">
        <f t="shared" si="122"/>
        <v>-129701.79999999999</v>
      </c>
      <c r="I502" s="4">
        <f t="shared" si="128"/>
        <v>-1949544775.6299977</v>
      </c>
    </row>
    <row r="503" spans="1:9" ht="15" customHeight="1" x14ac:dyDescent="0.2">
      <c r="A503" s="2">
        <v>45015</v>
      </c>
      <c r="C503" s="1" t="s">
        <v>17</v>
      </c>
      <c r="F503" s="120">
        <v>30</v>
      </c>
      <c r="G503" s="151">
        <v>452820</v>
      </c>
      <c r="H503" s="3">
        <f t="shared" si="122"/>
        <v>-129731.79999999999</v>
      </c>
      <c r="I503" s="4">
        <f t="shared" si="128"/>
        <v>-1949997595.6299977</v>
      </c>
    </row>
    <row r="504" spans="1:9" ht="15" customHeight="1" x14ac:dyDescent="0.2">
      <c r="A504" s="2">
        <v>45016</v>
      </c>
      <c r="C504" s="1" t="s">
        <v>18</v>
      </c>
      <c r="G504" s="151">
        <v>27013337.170000002</v>
      </c>
      <c r="H504" s="6">
        <f t="shared" ref="H504" si="129">+H503+D504-F504</f>
        <v>-129731.79999999999</v>
      </c>
      <c r="I504" s="7">
        <f t="shared" ref="I504:I505" si="130">+I503+E504-G504</f>
        <v>-1977010932.7999978</v>
      </c>
    </row>
    <row r="505" spans="1:9" ht="15" customHeight="1" x14ac:dyDescent="0.2">
      <c r="A505" s="2">
        <v>45070</v>
      </c>
      <c r="C505" s="1" t="s">
        <v>251</v>
      </c>
      <c r="D505" s="16">
        <v>358495.08</v>
      </c>
      <c r="E505" s="32">
        <v>5326878393.7200003</v>
      </c>
      <c r="H505" s="3">
        <f t="shared" ref="H505:H510" si="131">+H504+D505-F505</f>
        <v>228763.28000000003</v>
      </c>
      <c r="I505" s="4">
        <f t="shared" si="130"/>
        <v>3349867460.9200025</v>
      </c>
    </row>
    <row r="506" spans="1:9" ht="15" customHeight="1" x14ac:dyDescent="0.2">
      <c r="A506" s="2">
        <v>45076</v>
      </c>
      <c r="C506" s="1" t="s">
        <v>259</v>
      </c>
      <c r="F506" s="16">
        <v>142899.26</v>
      </c>
      <c r="G506" s="32">
        <v>2139630619.98</v>
      </c>
      <c r="H506" s="3">
        <f t="shared" si="131"/>
        <v>85864.020000000019</v>
      </c>
      <c r="I506" s="4">
        <f t="shared" ref="I506:I509" si="132">+I505+E506-G506</f>
        <v>1210236840.9400024</v>
      </c>
    </row>
    <row r="507" spans="1:9" ht="15" customHeight="1" x14ac:dyDescent="0.2">
      <c r="A507" s="2">
        <v>45076</v>
      </c>
      <c r="C507" s="1" t="s">
        <v>17</v>
      </c>
      <c r="F507" s="16">
        <v>30</v>
      </c>
      <c r="G507" s="32">
        <v>449190</v>
      </c>
      <c r="H507" s="3">
        <f t="shared" si="131"/>
        <v>85834.020000000019</v>
      </c>
      <c r="I507" s="4">
        <f t="shared" si="132"/>
        <v>1209787650.9400024</v>
      </c>
    </row>
    <row r="508" spans="1:9" ht="15" customHeight="1" x14ac:dyDescent="0.2">
      <c r="A508" s="2">
        <v>45076</v>
      </c>
      <c r="C508" s="1" t="s">
        <v>259</v>
      </c>
      <c r="F508" s="16">
        <v>142899.26</v>
      </c>
      <c r="G508" s="32">
        <v>2139630619.98</v>
      </c>
      <c r="H508" s="3">
        <f t="shared" si="131"/>
        <v>-57065.239999999991</v>
      </c>
      <c r="I508" s="4">
        <f t="shared" si="132"/>
        <v>-929842969.03999758</v>
      </c>
    </row>
    <row r="509" spans="1:9" ht="15" customHeight="1" x14ac:dyDescent="0.2">
      <c r="A509" s="2">
        <v>45076</v>
      </c>
      <c r="C509" s="1" t="s">
        <v>17</v>
      </c>
      <c r="F509" s="16">
        <v>30</v>
      </c>
      <c r="G509" s="32">
        <v>449190</v>
      </c>
      <c r="H509" s="3">
        <f t="shared" si="131"/>
        <v>-57095.239999999991</v>
      </c>
      <c r="I509" s="4">
        <f t="shared" si="132"/>
        <v>-930292159.03999758</v>
      </c>
    </row>
    <row r="510" spans="1:9" ht="15" customHeight="1" x14ac:dyDescent="0.2">
      <c r="A510" s="2">
        <v>45077</v>
      </c>
      <c r="C510" s="1" t="s">
        <v>18</v>
      </c>
      <c r="E510" s="32">
        <v>65870225.439999998</v>
      </c>
      <c r="H510" s="6">
        <f t="shared" si="131"/>
        <v>-57095.239999999991</v>
      </c>
      <c r="I510" s="7">
        <f t="shared" ref="I510" si="133">+I509+E510-G510</f>
        <v>-864421933.59999752</v>
      </c>
    </row>
    <row r="511" spans="1:9" ht="15" customHeight="1" x14ac:dyDescent="0.2">
      <c r="A511" s="2">
        <v>45085</v>
      </c>
      <c r="B511" s="2"/>
      <c r="C511" s="1" t="s">
        <v>303</v>
      </c>
      <c r="D511" s="66">
        <v>218676.04</v>
      </c>
      <c r="E511" s="32">
        <v>3276204431.2800002</v>
      </c>
      <c r="H511" s="3">
        <f t="shared" ref="H511:I514" si="134">+H510+D511-F511</f>
        <v>161580.80000000002</v>
      </c>
      <c r="I511" s="4">
        <f t="shared" si="134"/>
        <v>2411782497.6800027</v>
      </c>
    </row>
    <row r="512" spans="1:9" ht="15" customHeight="1" x14ac:dyDescent="0.2">
      <c r="A512" s="2">
        <v>45085</v>
      </c>
      <c r="C512" s="1" t="s">
        <v>278</v>
      </c>
      <c r="F512" s="66">
        <v>177009.48</v>
      </c>
      <c r="G512" s="32">
        <v>2633017785.0900002</v>
      </c>
      <c r="H512" s="3">
        <f t="shared" si="134"/>
        <v>-15428.679999999993</v>
      </c>
      <c r="I512" s="4">
        <f t="shared" si="134"/>
        <v>-221235287.40999746</v>
      </c>
    </row>
    <row r="513" spans="1:11" ht="15" customHeight="1" x14ac:dyDescent="0.2">
      <c r="A513" s="2">
        <v>45085</v>
      </c>
      <c r="C513" s="1" t="s">
        <v>17</v>
      </c>
      <c r="F513" s="66">
        <v>30</v>
      </c>
      <c r="G513" s="32">
        <v>446250.3</v>
      </c>
      <c r="H513" s="3">
        <f t="shared" si="134"/>
        <v>-15458.679999999993</v>
      </c>
      <c r="I513" s="4">
        <f t="shared" si="134"/>
        <v>-221681537.70999748</v>
      </c>
    </row>
    <row r="514" spans="1:11" ht="15" customHeight="1" x14ac:dyDescent="0.2">
      <c r="A514" s="2">
        <v>45107</v>
      </c>
      <c r="C514" s="1" t="s">
        <v>18</v>
      </c>
      <c r="G514" s="151">
        <v>12362877.49</v>
      </c>
      <c r="H514" s="3">
        <f t="shared" si="134"/>
        <v>-15458.679999999993</v>
      </c>
      <c r="I514" s="4">
        <f t="shared" si="134"/>
        <v>-234044415.19999748</v>
      </c>
    </row>
    <row r="515" spans="1:11" ht="15" customHeight="1" x14ac:dyDescent="0.2">
      <c r="A515" s="2">
        <v>45291</v>
      </c>
      <c r="C515" s="1" t="s">
        <v>458</v>
      </c>
      <c r="D515" s="3">
        <v>15458.68</v>
      </c>
      <c r="E515" s="32">
        <v>234044415.19999999</v>
      </c>
      <c r="F515" s="3"/>
      <c r="G515" s="32"/>
      <c r="H515" s="6">
        <f t="shared" ref="H515" si="135">+H514+D515-F515</f>
        <v>7.2759576141834259E-12</v>
      </c>
      <c r="I515" s="7">
        <f t="shared" ref="I515" si="136">+I514+E515-G515</f>
        <v>2.5033950805664063E-6</v>
      </c>
      <c r="J515" s="4">
        <v>0</v>
      </c>
      <c r="K515" s="4">
        <v>0</v>
      </c>
    </row>
    <row r="519" spans="1:11" ht="15" customHeight="1" x14ac:dyDescent="0.2">
      <c r="A519" s="5" t="s">
        <v>0</v>
      </c>
    </row>
    <row r="520" spans="1:11" ht="15" customHeight="1" x14ac:dyDescent="0.2">
      <c r="A520" s="5" t="s">
        <v>11</v>
      </c>
    </row>
    <row r="521" spans="1:11" ht="15" customHeight="1" x14ac:dyDescent="0.2">
      <c r="A521" s="5" t="s">
        <v>208</v>
      </c>
    </row>
    <row r="522" spans="1:11" ht="15" customHeight="1" x14ac:dyDescent="0.2">
      <c r="A522" s="5" t="s">
        <v>159</v>
      </c>
    </row>
    <row r="524" spans="1:11" ht="15" customHeight="1" x14ac:dyDescent="0.2">
      <c r="A524" s="9" t="s">
        <v>3</v>
      </c>
      <c r="B524" s="8" t="s">
        <v>4</v>
      </c>
      <c r="C524" s="8" t="s">
        <v>5</v>
      </c>
      <c r="D524" s="229" t="s">
        <v>6</v>
      </c>
      <c r="E524" s="229"/>
      <c r="F524" s="229" t="s">
        <v>7</v>
      </c>
      <c r="G524" s="229"/>
      <c r="H524" s="229" t="s">
        <v>8</v>
      </c>
      <c r="I524" s="229"/>
    </row>
    <row r="525" spans="1:11" ht="15" customHeight="1" x14ac:dyDescent="0.2">
      <c r="A525" s="10"/>
      <c r="B525" s="11"/>
      <c r="C525" s="11" t="s">
        <v>9</v>
      </c>
      <c r="D525" s="12"/>
      <c r="E525" s="183"/>
      <c r="F525" s="103"/>
      <c r="G525" s="179"/>
      <c r="H525" s="12">
        <v>0</v>
      </c>
      <c r="I525" s="13">
        <v>0</v>
      </c>
    </row>
    <row r="526" spans="1:11" ht="15" customHeight="1" x14ac:dyDescent="0.2">
      <c r="A526" s="76">
        <v>44937</v>
      </c>
      <c r="C526" s="75" t="s">
        <v>467</v>
      </c>
      <c r="D526" s="77"/>
      <c r="E526" s="185"/>
      <c r="F526" s="77">
        <v>16918</v>
      </c>
      <c r="G526" s="185">
        <v>263734702</v>
      </c>
      <c r="H526" s="24">
        <f t="shared" ref="H526:I530" si="137">+H525+D526-F526</f>
        <v>-16918</v>
      </c>
      <c r="I526" s="25">
        <f t="shared" si="137"/>
        <v>-263734702</v>
      </c>
    </row>
    <row r="527" spans="1:11" ht="15" customHeight="1" x14ac:dyDescent="0.2">
      <c r="A527" s="2">
        <v>44995</v>
      </c>
      <c r="C527" s="1" t="s">
        <v>209</v>
      </c>
      <c r="F527" s="102">
        <v>59282.31</v>
      </c>
      <c r="G527" s="151">
        <v>915200301.77999997</v>
      </c>
      <c r="H527" s="3">
        <f t="shared" si="137"/>
        <v>-76200.31</v>
      </c>
      <c r="I527" s="4">
        <f t="shared" si="137"/>
        <v>-1178935003.78</v>
      </c>
    </row>
    <row r="528" spans="1:11" ht="15" customHeight="1" x14ac:dyDescent="0.2">
      <c r="A528" s="2">
        <v>44995</v>
      </c>
      <c r="C528" s="1" t="s">
        <v>17</v>
      </c>
      <c r="F528" s="102">
        <v>41</v>
      </c>
      <c r="G528" s="151">
        <v>632958</v>
      </c>
      <c r="H528" s="3">
        <f t="shared" si="137"/>
        <v>-76241.31</v>
      </c>
      <c r="I528" s="4">
        <f t="shared" si="137"/>
        <v>-1179567961.78</v>
      </c>
    </row>
    <row r="529" spans="1:11" ht="15" customHeight="1" x14ac:dyDescent="0.2">
      <c r="A529" s="2">
        <v>45027</v>
      </c>
      <c r="C529" s="1" t="s">
        <v>235</v>
      </c>
      <c r="D529" s="3">
        <v>76241.31</v>
      </c>
      <c r="E529" s="32">
        <v>1149642713.49</v>
      </c>
      <c r="H529" s="3">
        <f t="shared" si="137"/>
        <v>0</v>
      </c>
      <c r="I529" s="4">
        <f t="shared" si="137"/>
        <v>-29925248.289999962</v>
      </c>
    </row>
    <row r="530" spans="1:11" ht="15" customHeight="1" x14ac:dyDescent="0.2">
      <c r="A530" s="2">
        <v>45046</v>
      </c>
      <c r="C530" s="1" t="s">
        <v>18</v>
      </c>
      <c r="E530" s="151">
        <v>29925248.289999999</v>
      </c>
      <c r="H530" s="3">
        <f t="shared" si="137"/>
        <v>0</v>
      </c>
      <c r="I530" s="4">
        <f t="shared" si="137"/>
        <v>3.7252902984619141E-8</v>
      </c>
      <c r="J530" s="4">
        <v>0</v>
      </c>
      <c r="K530" s="4">
        <v>0</v>
      </c>
    </row>
    <row r="531" spans="1:11" ht="15" customHeight="1" x14ac:dyDescent="0.2">
      <c r="A531" s="76"/>
      <c r="C531" s="75"/>
      <c r="D531" s="77"/>
      <c r="E531" s="185"/>
    </row>
    <row r="533" spans="1:11" ht="15" customHeight="1" x14ac:dyDescent="0.2">
      <c r="A533" s="5" t="s">
        <v>0</v>
      </c>
    </row>
    <row r="534" spans="1:11" ht="15" customHeight="1" x14ac:dyDescent="0.2">
      <c r="A534" s="5" t="s">
        <v>15</v>
      </c>
    </row>
    <row r="535" spans="1:11" ht="15" customHeight="1" x14ac:dyDescent="0.2">
      <c r="A535" s="5" t="s">
        <v>193</v>
      </c>
    </row>
    <row r="536" spans="1:11" ht="15" customHeight="1" x14ac:dyDescent="0.2">
      <c r="A536" s="5" t="s">
        <v>159</v>
      </c>
    </row>
    <row r="538" spans="1:11" ht="15" customHeight="1" x14ac:dyDescent="0.2">
      <c r="A538" s="9" t="s">
        <v>3</v>
      </c>
      <c r="B538" s="81" t="s">
        <v>4</v>
      </c>
      <c r="C538" s="8" t="s">
        <v>5</v>
      </c>
      <c r="D538" s="230" t="s">
        <v>6</v>
      </c>
      <c r="E538" s="229"/>
      <c r="F538" s="230" t="s">
        <v>7</v>
      </c>
      <c r="G538" s="229"/>
      <c r="H538" s="229" t="s">
        <v>8</v>
      </c>
      <c r="I538" s="229"/>
    </row>
    <row r="539" spans="1:11" ht="15" customHeight="1" x14ac:dyDescent="0.2">
      <c r="A539" s="10"/>
      <c r="B539" s="82"/>
      <c r="C539" s="11" t="s">
        <v>9</v>
      </c>
      <c r="D539" s="84"/>
      <c r="E539" s="186"/>
      <c r="F539" s="123"/>
      <c r="G539" s="180"/>
      <c r="H539" s="84">
        <v>0</v>
      </c>
      <c r="I539" s="87">
        <v>0</v>
      </c>
    </row>
    <row r="540" spans="1:11" ht="15" customHeight="1" x14ac:dyDescent="0.2">
      <c r="A540" s="2">
        <v>44960</v>
      </c>
      <c r="C540" s="1" t="s">
        <v>194</v>
      </c>
      <c r="F540" s="159">
        <v>19637</v>
      </c>
      <c r="G540" s="151">
        <v>291962916</v>
      </c>
      <c r="H540" s="3">
        <f>+H539+D540-F540</f>
        <v>-19637</v>
      </c>
      <c r="I540" s="4">
        <f>+I539+E540-G540</f>
        <v>-291962916</v>
      </c>
    </row>
    <row r="541" spans="1:11" ht="15" customHeight="1" x14ac:dyDescent="0.2">
      <c r="A541" s="2">
        <v>44960</v>
      </c>
      <c r="C541" s="1" t="s">
        <v>17</v>
      </c>
      <c r="F541" s="159">
        <v>37</v>
      </c>
      <c r="G541" s="151">
        <v>550116</v>
      </c>
      <c r="H541" s="6">
        <f>+H540+D541-F541</f>
        <v>-19674</v>
      </c>
      <c r="I541" s="7">
        <f>+I540+E541-G541</f>
        <v>-292513032</v>
      </c>
    </row>
    <row r="542" spans="1:11" ht="15" customHeight="1" x14ac:dyDescent="0.2">
      <c r="A542" s="2">
        <v>45034</v>
      </c>
      <c r="C542" s="1" t="s">
        <v>242</v>
      </c>
      <c r="F542" s="159">
        <v>46717.36</v>
      </c>
      <c r="G542" s="151">
        <v>690155559.27999997</v>
      </c>
      <c r="H542" s="3">
        <f t="shared" ref="H542:H547" si="138">+H541+D542-F542</f>
        <v>-66391.360000000001</v>
      </c>
      <c r="I542" s="4">
        <f t="shared" ref="I542:I543" si="139">+I541+E542-G542</f>
        <v>-982668591.27999997</v>
      </c>
    </row>
    <row r="543" spans="1:11" ht="15" customHeight="1" x14ac:dyDescent="0.2">
      <c r="A543" s="2">
        <v>45034</v>
      </c>
      <c r="C543" s="1" t="s">
        <v>17</v>
      </c>
      <c r="F543" s="159">
        <v>17</v>
      </c>
      <c r="G543" s="151">
        <v>251141</v>
      </c>
      <c r="H543" s="6">
        <f t="shared" si="138"/>
        <v>-66408.36</v>
      </c>
      <c r="I543" s="7">
        <f t="shared" si="139"/>
        <v>-982919732.27999997</v>
      </c>
    </row>
    <row r="544" spans="1:11" ht="15" customHeight="1" x14ac:dyDescent="0.2">
      <c r="A544" s="2">
        <v>45048</v>
      </c>
      <c r="C544" s="1" t="s">
        <v>252</v>
      </c>
      <c r="D544" s="16">
        <v>66408.36</v>
      </c>
      <c r="E544" s="32">
        <v>984437528.63999999</v>
      </c>
      <c r="H544" s="3">
        <f t="shared" si="138"/>
        <v>0</v>
      </c>
      <c r="I544" s="4">
        <f t="shared" ref="I544" si="140">+I543+E544-G544</f>
        <v>1517796.3600000143</v>
      </c>
    </row>
    <row r="545" spans="1:9" ht="15" customHeight="1" x14ac:dyDescent="0.2">
      <c r="A545" s="2">
        <v>45077</v>
      </c>
      <c r="C545" s="1" t="s">
        <v>18</v>
      </c>
      <c r="G545" s="151">
        <v>1517796.36</v>
      </c>
      <c r="H545" s="3">
        <f t="shared" si="138"/>
        <v>0</v>
      </c>
      <c r="I545" s="4">
        <f t="shared" ref="I545" si="141">+I544+E545-G545</f>
        <v>1.4202669262886047E-8</v>
      </c>
    </row>
    <row r="546" spans="1:9" ht="15" customHeight="1" x14ac:dyDescent="0.2">
      <c r="A546" s="2">
        <v>45090</v>
      </c>
      <c r="B546" s="2"/>
      <c r="C546" s="1" t="s">
        <v>351</v>
      </c>
      <c r="D546" s="17"/>
      <c r="F546" s="199">
        <v>18331</v>
      </c>
      <c r="G546" s="72">
        <v>272655294</v>
      </c>
      <c r="H546" s="3">
        <f t="shared" si="138"/>
        <v>-18331</v>
      </c>
      <c r="I546" s="4">
        <f t="shared" ref="I546:I551" si="142">+I545+E546-G546</f>
        <v>-272655294</v>
      </c>
    </row>
    <row r="547" spans="1:9" ht="15" customHeight="1" x14ac:dyDescent="0.2">
      <c r="A547" s="2">
        <v>45090</v>
      </c>
      <c r="B547" s="2"/>
      <c r="C547" s="1" t="s">
        <v>17</v>
      </c>
      <c r="D547" s="17"/>
      <c r="F547" s="199">
        <v>17</v>
      </c>
      <c r="G547" s="72">
        <v>252858</v>
      </c>
      <c r="H547" s="6">
        <f t="shared" si="138"/>
        <v>-18348</v>
      </c>
      <c r="I547" s="7">
        <f t="shared" si="142"/>
        <v>-272908152</v>
      </c>
    </row>
    <row r="548" spans="1:9" ht="15" customHeight="1" x14ac:dyDescent="0.2">
      <c r="A548" s="2">
        <v>45113</v>
      </c>
      <c r="B548" s="2"/>
      <c r="C548" s="1" t="s">
        <v>386</v>
      </c>
      <c r="D548" s="17"/>
      <c r="E548" s="4"/>
      <c r="F548" s="153">
        <v>18331</v>
      </c>
      <c r="G548" s="25">
        <v>275203303</v>
      </c>
      <c r="H548" s="3">
        <f t="shared" ref="H548:H557" si="143">+H547+D548-F548</f>
        <v>-36679</v>
      </c>
      <c r="I548" s="4">
        <f t="shared" si="142"/>
        <v>-548111455</v>
      </c>
    </row>
    <row r="549" spans="1:9" ht="15" customHeight="1" x14ac:dyDescent="0.2">
      <c r="A549" s="2">
        <v>45113</v>
      </c>
      <c r="B549" s="2"/>
      <c r="C549" s="1" t="s">
        <v>17</v>
      </c>
      <c r="D549" s="17"/>
      <c r="E549" s="4"/>
      <c r="F549" s="153">
        <v>17</v>
      </c>
      <c r="G549" s="25">
        <v>255221</v>
      </c>
      <c r="H549" s="3">
        <f t="shared" si="143"/>
        <v>-36696</v>
      </c>
      <c r="I549" s="4">
        <f t="shared" si="142"/>
        <v>-548366676</v>
      </c>
    </row>
    <row r="550" spans="1:9" ht="15" customHeight="1" x14ac:dyDescent="0.2">
      <c r="A550" s="2">
        <v>45134</v>
      </c>
      <c r="B550" s="2"/>
      <c r="C550" s="1" t="s">
        <v>329</v>
      </c>
      <c r="F550" s="198">
        <v>46191.86</v>
      </c>
      <c r="G550" s="32">
        <v>694356039.51999998</v>
      </c>
      <c r="H550" s="3">
        <f t="shared" si="143"/>
        <v>-82887.86</v>
      </c>
      <c r="I550" s="4">
        <f t="shared" si="142"/>
        <v>-1242722715.52</v>
      </c>
    </row>
    <row r="551" spans="1:9" ht="15" customHeight="1" x14ac:dyDescent="0.2">
      <c r="A551" s="2">
        <v>45134</v>
      </c>
      <c r="B551" s="2"/>
      <c r="C551" s="1" t="s">
        <v>17</v>
      </c>
      <c r="F551" s="198">
        <v>17</v>
      </c>
      <c r="G551" s="32">
        <v>255544</v>
      </c>
      <c r="H551" s="6">
        <f t="shared" si="143"/>
        <v>-82904.86</v>
      </c>
      <c r="I551" s="7">
        <f t="shared" si="142"/>
        <v>-1242978259.52</v>
      </c>
    </row>
    <row r="552" spans="1:9" ht="15" customHeight="1" x14ac:dyDescent="0.2">
      <c r="A552" s="2">
        <v>45145</v>
      </c>
      <c r="C552" s="1" t="s">
        <v>361</v>
      </c>
      <c r="D552" s="198">
        <v>65256.86</v>
      </c>
      <c r="E552" s="4">
        <v>980875862.65999997</v>
      </c>
      <c r="H552" s="3">
        <f t="shared" si="143"/>
        <v>-17648</v>
      </c>
      <c r="I552" s="4">
        <f t="shared" ref="I552:I557" si="144">+I551+E552-G552</f>
        <v>-262102396.86000001</v>
      </c>
    </row>
    <row r="553" spans="1:9" ht="15" customHeight="1" x14ac:dyDescent="0.2">
      <c r="A553" s="2">
        <v>45146</v>
      </c>
      <c r="B553" s="2"/>
      <c r="C553" s="1" t="s">
        <v>351</v>
      </c>
      <c r="F553" s="198">
        <f>773-90</f>
        <v>683</v>
      </c>
      <c r="G553" s="32">
        <f>11732594-1366020</f>
        <v>10366574</v>
      </c>
      <c r="H553" s="3">
        <f t="shared" si="143"/>
        <v>-18331</v>
      </c>
      <c r="I553" s="4">
        <f t="shared" si="144"/>
        <v>-272468970.86000001</v>
      </c>
    </row>
    <row r="554" spans="1:9" ht="15" customHeight="1" x14ac:dyDescent="0.2">
      <c r="A554" s="2">
        <v>45146</v>
      </c>
      <c r="B554" s="2"/>
      <c r="C554" s="1" t="s">
        <v>362</v>
      </c>
      <c r="F554" s="71">
        <v>90</v>
      </c>
      <c r="G554" s="32">
        <v>1366020</v>
      </c>
      <c r="H554" s="3">
        <f t="shared" si="143"/>
        <v>-18421</v>
      </c>
      <c r="I554" s="4">
        <f t="shared" si="144"/>
        <v>-273834990.86000001</v>
      </c>
    </row>
    <row r="555" spans="1:9" ht="15" customHeight="1" x14ac:dyDescent="0.2">
      <c r="A555" s="2">
        <v>45146</v>
      </c>
      <c r="B555" s="2"/>
      <c r="C555" s="1" t="s">
        <v>17</v>
      </c>
      <c r="F555" s="198">
        <v>17</v>
      </c>
      <c r="G555" s="32">
        <v>258026</v>
      </c>
      <c r="H555" s="6">
        <f t="shared" si="143"/>
        <v>-18438</v>
      </c>
      <c r="I555" s="7">
        <f t="shared" si="144"/>
        <v>-274093016.86000001</v>
      </c>
    </row>
    <row r="556" spans="1:9" ht="15" customHeight="1" x14ac:dyDescent="0.2">
      <c r="A556" s="2">
        <v>45153</v>
      </c>
      <c r="B556" s="2"/>
      <c r="C556" s="1" t="s">
        <v>380</v>
      </c>
      <c r="D556" s="17"/>
      <c r="F556" s="189">
        <v>17815</v>
      </c>
      <c r="G556" s="25">
        <v>272979245</v>
      </c>
      <c r="H556" s="3">
        <f t="shared" si="143"/>
        <v>-36253</v>
      </c>
      <c r="I556" s="4">
        <f t="shared" si="144"/>
        <v>-547072261.86000001</v>
      </c>
    </row>
    <row r="557" spans="1:9" ht="15" customHeight="1" x14ac:dyDescent="0.2">
      <c r="A557" s="2">
        <v>45153</v>
      </c>
      <c r="B557" s="2"/>
      <c r="C557" s="1" t="s">
        <v>17</v>
      </c>
      <c r="D557" s="17"/>
      <c r="F557" s="189">
        <v>17</v>
      </c>
      <c r="G557" s="25">
        <v>260491</v>
      </c>
      <c r="H557" s="3">
        <f t="shared" si="143"/>
        <v>-36270</v>
      </c>
      <c r="I557" s="4">
        <f t="shared" si="144"/>
        <v>-547332752.86000001</v>
      </c>
    </row>
    <row r="558" spans="1:9" ht="15" customHeight="1" x14ac:dyDescent="0.2">
      <c r="A558" s="2">
        <v>45169</v>
      </c>
      <c r="C558" s="1" t="s">
        <v>18</v>
      </c>
      <c r="G558" s="151">
        <v>2731527.14</v>
      </c>
      <c r="H558" s="6">
        <f t="shared" ref="H558" si="145">+H557+D558-F558</f>
        <v>-36270</v>
      </c>
      <c r="I558" s="7">
        <f t="shared" ref="I558" si="146">+I557+E558-G558</f>
        <v>-550064280</v>
      </c>
    </row>
    <row r="559" spans="1:9" ht="15" customHeight="1" x14ac:dyDescent="0.2">
      <c r="A559" s="2">
        <v>45176</v>
      </c>
      <c r="B559" s="2"/>
      <c r="C559" s="1" t="s">
        <v>386</v>
      </c>
      <c r="D559" s="24"/>
      <c r="E559" s="72"/>
      <c r="F559" s="153">
        <v>45110.41</v>
      </c>
      <c r="G559" s="72">
        <v>690505045.87</v>
      </c>
      <c r="H559" s="3">
        <f t="shared" ref="H559:I565" si="147">+H558+D559-F559</f>
        <v>-81380.41</v>
      </c>
      <c r="I559" s="4">
        <f t="shared" si="147"/>
        <v>-1240569325.8699999</v>
      </c>
    </row>
    <row r="560" spans="1:9" ht="15" customHeight="1" x14ac:dyDescent="0.2">
      <c r="A560" s="2">
        <v>45176</v>
      </c>
      <c r="B560" s="2"/>
      <c r="C560" s="1" t="s">
        <v>17</v>
      </c>
      <c r="F560" s="71">
        <v>17</v>
      </c>
      <c r="G560" s="32">
        <v>260219</v>
      </c>
      <c r="H560" s="3">
        <f t="shared" si="147"/>
        <v>-81397.41</v>
      </c>
      <c r="I560" s="4">
        <f t="shared" si="147"/>
        <v>-1240829544.8699999</v>
      </c>
    </row>
    <row r="561" spans="1:11" ht="15" customHeight="1" x14ac:dyDescent="0.2">
      <c r="A561" s="2">
        <v>45180</v>
      </c>
      <c r="B561" s="2"/>
      <c r="C561" s="1" t="s">
        <v>385</v>
      </c>
      <c r="D561" s="71">
        <v>63565.41</v>
      </c>
      <c r="E561" s="32">
        <v>969817460.37</v>
      </c>
      <c r="F561" s="3"/>
      <c r="G561" s="32"/>
      <c r="H561" s="3">
        <f t="shared" si="147"/>
        <v>-17832</v>
      </c>
      <c r="I561" s="4">
        <f t="shared" si="147"/>
        <v>-271012084.49999988</v>
      </c>
      <c r="J561" s="1"/>
      <c r="K561" s="1"/>
    </row>
    <row r="562" spans="1:11" ht="15" customHeight="1" x14ac:dyDescent="0.2">
      <c r="A562" s="2">
        <v>45196</v>
      </c>
      <c r="C562" s="1" t="s">
        <v>417</v>
      </c>
      <c r="D562" s="17"/>
      <c r="F562" s="16">
        <v>17287</v>
      </c>
      <c r="G562" s="32">
        <v>267326168</v>
      </c>
      <c r="H562" s="3">
        <f t="shared" si="147"/>
        <v>-35119</v>
      </c>
      <c r="I562" s="4">
        <f t="shared" si="147"/>
        <v>-538338252.49999988</v>
      </c>
    </row>
    <row r="563" spans="1:11" ht="15" customHeight="1" x14ac:dyDescent="0.2">
      <c r="A563" s="2">
        <v>45196</v>
      </c>
      <c r="C563" s="1" t="s">
        <v>17</v>
      </c>
      <c r="D563" s="17"/>
      <c r="F563" s="16">
        <v>17</v>
      </c>
      <c r="G563" s="32">
        <v>262888</v>
      </c>
      <c r="H563" s="3">
        <f t="shared" si="147"/>
        <v>-35136</v>
      </c>
      <c r="I563" s="4">
        <f t="shared" si="147"/>
        <v>-538601140.49999988</v>
      </c>
    </row>
    <row r="564" spans="1:11" ht="15" customHeight="1" x14ac:dyDescent="0.2">
      <c r="A564" s="2">
        <v>45198</v>
      </c>
      <c r="C564" s="1" t="s">
        <v>448</v>
      </c>
      <c r="D564" s="17"/>
      <c r="F564" s="71">
        <v>18206.2</v>
      </c>
      <c r="G564" s="32">
        <v>282669461.19999999</v>
      </c>
      <c r="H564" s="3">
        <f t="shared" si="147"/>
        <v>-53342.2</v>
      </c>
      <c r="I564" s="4">
        <f t="shared" si="147"/>
        <v>-821270601.69999981</v>
      </c>
    </row>
    <row r="565" spans="1:11" ht="15" customHeight="1" x14ac:dyDescent="0.2">
      <c r="A565" s="2">
        <v>45198</v>
      </c>
      <c r="C565" s="1" t="s">
        <v>17</v>
      </c>
      <c r="D565" s="17"/>
      <c r="F565" s="71">
        <v>17</v>
      </c>
      <c r="G565" s="32">
        <v>263942</v>
      </c>
      <c r="H565" s="3">
        <f t="shared" si="147"/>
        <v>-53359.199999999997</v>
      </c>
      <c r="I565" s="4">
        <f t="shared" si="147"/>
        <v>-821534543.69999981</v>
      </c>
    </row>
    <row r="566" spans="1:11" ht="15" customHeight="1" x14ac:dyDescent="0.2">
      <c r="A566" s="2">
        <v>45199</v>
      </c>
      <c r="C566" s="1" t="s">
        <v>18</v>
      </c>
      <c r="G566" s="151">
        <v>2227651.5</v>
      </c>
      <c r="H566" s="6">
        <f t="shared" ref="H566" si="148">+H565+D566-F566</f>
        <v>-53359.199999999997</v>
      </c>
      <c r="I566" s="7">
        <f t="shared" ref="I566" si="149">+I565+E566-G566</f>
        <v>-823762195.19999981</v>
      </c>
    </row>
    <row r="567" spans="1:11" ht="15" customHeight="1" x14ac:dyDescent="0.2">
      <c r="A567" s="212">
        <v>45206</v>
      </c>
      <c r="B567" s="212"/>
      <c r="C567" s="40" t="s">
        <v>406</v>
      </c>
      <c r="D567" s="177"/>
      <c r="E567" s="208"/>
      <c r="F567" s="215">
        <v>46380.15</v>
      </c>
      <c r="G567" s="208">
        <v>723576720.14999998</v>
      </c>
      <c r="H567" s="3">
        <f t="shared" ref="H567" si="150">+H566+D567-F567</f>
        <v>-99739.35</v>
      </c>
      <c r="I567" s="4">
        <f t="shared" ref="I567" si="151">+I566+E567-G567</f>
        <v>-1547338915.3499999</v>
      </c>
      <c r="J567" s="1"/>
      <c r="K567" s="1"/>
    </row>
    <row r="568" spans="1:11" ht="15" customHeight="1" x14ac:dyDescent="0.2">
      <c r="A568" s="212">
        <v>45206</v>
      </c>
      <c r="B568" s="212"/>
      <c r="C568" s="40" t="s">
        <v>17</v>
      </c>
      <c r="D568" s="177"/>
      <c r="E568" s="208"/>
      <c r="F568" s="215">
        <v>17</v>
      </c>
      <c r="G568" s="208">
        <v>265217</v>
      </c>
      <c r="H568" s="3">
        <f t="shared" ref="H568:H569" si="152">+H567+D568-F568</f>
        <v>-99756.35</v>
      </c>
      <c r="I568" s="4">
        <f t="shared" ref="I568:I569" si="153">+I567+E568-G568</f>
        <v>-1547604132.3499999</v>
      </c>
      <c r="J568" s="1"/>
      <c r="K568" s="1"/>
    </row>
    <row r="569" spans="1:11" ht="15" customHeight="1" x14ac:dyDescent="0.2">
      <c r="A569" s="2">
        <v>45210</v>
      </c>
      <c r="C569" s="1" t="s">
        <v>403</v>
      </c>
      <c r="D569" s="66">
        <v>64229.15</v>
      </c>
      <c r="E569" s="32">
        <v>1001782052.5500001</v>
      </c>
      <c r="H569" s="3">
        <f t="shared" si="152"/>
        <v>-35527.200000000004</v>
      </c>
      <c r="I569" s="4">
        <f t="shared" si="153"/>
        <v>-545822079.79999983</v>
      </c>
    </row>
    <row r="570" spans="1:11" ht="15" customHeight="1" x14ac:dyDescent="0.2">
      <c r="A570" s="2">
        <v>45230</v>
      </c>
      <c r="C570" s="1" t="s">
        <v>18</v>
      </c>
      <c r="G570" s="151">
        <v>4700379.4000000004</v>
      </c>
      <c r="H570" s="6">
        <f t="shared" ref="H570" si="154">+H569+D570-F570</f>
        <v>-35527.200000000004</v>
      </c>
      <c r="I570" s="7">
        <f t="shared" ref="I570" si="155">+I569+E570-G570</f>
        <v>-550522459.19999981</v>
      </c>
    </row>
    <row r="571" spans="1:11" ht="15" customHeight="1" x14ac:dyDescent="0.2">
      <c r="A571" s="2">
        <v>45254</v>
      </c>
      <c r="B571" s="2"/>
      <c r="C571" s="1" t="s">
        <v>425</v>
      </c>
      <c r="D571" s="16">
        <v>65383.86</v>
      </c>
      <c r="E571" s="32">
        <v>1020184367.58</v>
      </c>
      <c r="H571" s="3">
        <f t="shared" ref="H571" si="156">+H570+D571-F571</f>
        <v>29856.659999999996</v>
      </c>
      <c r="I571" s="4">
        <f t="shared" ref="I571" si="157">+I570+E571-G571</f>
        <v>469661908.38000023</v>
      </c>
    </row>
    <row r="572" spans="1:11" ht="15" customHeight="1" x14ac:dyDescent="0.2">
      <c r="A572" s="2">
        <v>45252</v>
      </c>
      <c r="B572" s="2"/>
      <c r="C572" s="1" t="s">
        <v>417</v>
      </c>
      <c r="F572" s="16">
        <v>48062.86</v>
      </c>
      <c r="G572" s="32">
        <v>741898306.96000004</v>
      </c>
      <c r="H572" s="3">
        <f t="shared" ref="H572:H573" si="158">+H571+D572-F572</f>
        <v>-18206.200000000004</v>
      </c>
      <c r="I572" s="4">
        <f t="shared" ref="I572:I573" si="159">+I571+E572-G572</f>
        <v>-272236398.5799998</v>
      </c>
    </row>
    <row r="573" spans="1:11" ht="15" customHeight="1" x14ac:dyDescent="0.2">
      <c r="A573" s="2">
        <v>45252</v>
      </c>
      <c r="B573" s="2"/>
      <c r="C573" s="1" t="s">
        <v>17</v>
      </c>
      <c r="F573" s="16">
        <v>17</v>
      </c>
      <c r="G573" s="32">
        <v>262412</v>
      </c>
      <c r="H573" s="3">
        <f t="shared" si="158"/>
        <v>-18223.200000000004</v>
      </c>
      <c r="I573" s="4">
        <f t="shared" si="159"/>
        <v>-272498810.5799998</v>
      </c>
    </row>
    <row r="574" spans="1:11" ht="15" customHeight="1" x14ac:dyDescent="0.2">
      <c r="A574" s="2">
        <v>45260</v>
      </c>
      <c r="C574" s="1" t="s">
        <v>18</v>
      </c>
      <c r="G574" s="151">
        <v>10434592.619999999</v>
      </c>
      <c r="H574" s="6">
        <f t="shared" ref="H574" si="160">+H573+D574-F574</f>
        <v>-18223.200000000004</v>
      </c>
      <c r="I574" s="7">
        <f t="shared" ref="I574" si="161">+I573+E574-G574</f>
        <v>-282933403.19999981</v>
      </c>
    </row>
    <row r="575" spans="1:11" ht="15" customHeight="1" x14ac:dyDescent="0.2">
      <c r="A575" s="2">
        <v>45281</v>
      </c>
      <c r="B575" s="2"/>
      <c r="C575" s="1" t="s">
        <v>444</v>
      </c>
      <c r="D575" s="71">
        <v>66280.240000000005</v>
      </c>
      <c r="E575" s="32">
        <v>1032248457.76</v>
      </c>
      <c r="H575" s="3">
        <f t="shared" ref="H575:I578" si="162">+H574+D575-F575</f>
        <v>48057.04</v>
      </c>
      <c r="I575" s="4">
        <f t="shared" si="162"/>
        <v>749315054.56000018</v>
      </c>
    </row>
    <row r="576" spans="1:11" ht="15" customHeight="1" x14ac:dyDescent="0.2">
      <c r="A576" s="2">
        <v>45280</v>
      </c>
      <c r="B576" s="2"/>
      <c r="C576" s="1" t="s">
        <v>448</v>
      </c>
      <c r="F576" s="71">
        <v>48052.04</v>
      </c>
      <c r="G576" s="32">
        <v>745094932.24000001</v>
      </c>
      <c r="H576" s="3">
        <f t="shared" si="162"/>
        <v>5</v>
      </c>
      <c r="I576" s="4">
        <f t="shared" si="162"/>
        <v>4220122.3200001717</v>
      </c>
    </row>
    <row r="577" spans="1:11" ht="15" customHeight="1" x14ac:dyDescent="0.2">
      <c r="A577" s="2">
        <v>45280</v>
      </c>
      <c r="B577" s="2"/>
      <c r="C577" s="1" t="s">
        <v>17</v>
      </c>
      <c r="F577" s="71">
        <v>5</v>
      </c>
      <c r="G577" s="32">
        <v>77530</v>
      </c>
      <c r="H577" s="3">
        <f t="shared" si="162"/>
        <v>0</v>
      </c>
      <c r="I577" s="4">
        <f t="shared" si="162"/>
        <v>4142592.3200001717</v>
      </c>
    </row>
    <row r="578" spans="1:11" ht="15" customHeight="1" x14ac:dyDescent="0.2">
      <c r="A578" s="2">
        <v>45291</v>
      </c>
      <c r="C578" s="1" t="s">
        <v>18</v>
      </c>
      <c r="G578" s="151">
        <v>4142592.32</v>
      </c>
      <c r="H578" s="3">
        <f t="shared" si="162"/>
        <v>0</v>
      </c>
      <c r="I578" s="4">
        <f t="shared" si="162"/>
        <v>1.7182901501655579E-7</v>
      </c>
      <c r="J578" s="4">
        <v>0</v>
      </c>
      <c r="K578" s="4">
        <v>0</v>
      </c>
    </row>
    <row r="606" spans="1:1" ht="15" customHeight="1" x14ac:dyDescent="0.2">
      <c r="A606" s="5" t="s">
        <v>0</v>
      </c>
    </row>
    <row r="607" spans="1:1" ht="15" customHeight="1" x14ac:dyDescent="0.2">
      <c r="A607" s="5" t="s">
        <v>15</v>
      </c>
    </row>
    <row r="608" spans="1:1" ht="15" customHeight="1" x14ac:dyDescent="0.2">
      <c r="A608" s="5" t="s">
        <v>55</v>
      </c>
    </row>
    <row r="609" spans="1:9" ht="15" customHeight="1" x14ac:dyDescent="0.2">
      <c r="A609" s="5" t="s">
        <v>159</v>
      </c>
    </row>
    <row r="611" spans="1:9" ht="15" customHeight="1" x14ac:dyDescent="0.2">
      <c r="A611" s="9" t="s">
        <v>3</v>
      </c>
      <c r="B611" s="81" t="s">
        <v>4</v>
      </c>
      <c r="C611" s="8" t="s">
        <v>5</v>
      </c>
      <c r="D611" s="230" t="s">
        <v>6</v>
      </c>
      <c r="E611" s="229"/>
      <c r="F611" s="230" t="s">
        <v>7</v>
      </c>
      <c r="G611" s="229"/>
      <c r="H611" s="229" t="s">
        <v>8</v>
      </c>
      <c r="I611" s="229"/>
    </row>
    <row r="612" spans="1:9" ht="15" customHeight="1" x14ac:dyDescent="0.2">
      <c r="A612" s="10"/>
      <c r="B612" s="82"/>
      <c r="C612" s="11" t="s">
        <v>9</v>
      </c>
      <c r="D612" s="84"/>
      <c r="E612" s="186"/>
      <c r="F612" s="123"/>
      <c r="G612" s="180"/>
      <c r="H612" s="84">
        <v>0</v>
      </c>
      <c r="I612" s="87">
        <v>0</v>
      </c>
    </row>
    <row r="613" spans="1:9" ht="15" customHeight="1" x14ac:dyDescent="0.2">
      <c r="A613" s="48">
        <v>44804</v>
      </c>
      <c r="B613" s="75"/>
      <c r="C613" s="49" t="s">
        <v>260</v>
      </c>
      <c r="D613" s="77"/>
      <c r="E613" s="185"/>
      <c r="F613" s="164">
        <f>82489-49526.4</f>
        <v>32962.6</v>
      </c>
      <c r="G613" s="181">
        <v>490319004.62599999</v>
      </c>
      <c r="H613" s="77" t="e">
        <f>+#REF!+D613-F613</f>
        <v>#REF!</v>
      </c>
      <c r="I613" s="78" t="e">
        <f>+#REF!+E613-G613</f>
        <v>#REF!</v>
      </c>
    </row>
    <row r="614" spans="1:9" ht="15" customHeight="1" x14ac:dyDescent="0.2">
      <c r="A614" s="48">
        <v>44804</v>
      </c>
      <c r="B614" s="75"/>
      <c r="C614" s="49" t="s">
        <v>17</v>
      </c>
      <c r="D614" s="77"/>
      <c r="E614" s="185"/>
      <c r="F614" s="164">
        <v>55</v>
      </c>
      <c r="G614" s="181">
        <v>818125.55</v>
      </c>
      <c r="H614" s="77" t="e">
        <f>+#REF!+D614-F614</f>
        <v>#REF!</v>
      </c>
      <c r="I614" s="78" t="e">
        <f>+#REF!+E614-G614</f>
        <v>#REF!</v>
      </c>
    </row>
    <row r="617" spans="1:9" ht="15" customHeight="1" x14ac:dyDescent="0.2">
      <c r="C617" s="1" t="s">
        <v>9</v>
      </c>
      <c r="H617" s="3">
        <v>-33017.599999999977</v>
      </c>
      <c r="I617" s="4">
        <v>-491137130.17600012</v>
      </c>
    </row>
    <row r="618" spans="1:9" ht="15" customHeight="1" x14ac:dyDescent="0.2">
      <c r="A618" s="2">
        <v>45030</v>
      </c>
      <c r="C618" s="1" t="s">
        <v>240</v>
      </c>
      <c r="F618" s="159">
        <v>128766.51</v>
      </c>
      <c r="G618" s="151">
        <v>1904714215.9200001</v>
      </c>
      <c r="H618" s="3">
        <f t="shared" ref="H618:I620" si="163">+H617+D618-F618</f>
        <v>-161784.10999999999</v>
      </c>
      <c r="I618" s="4">
        <f t="shared" si="163"/>
        <v>-2395851346.0960002</v>
      </c>
    </row>
    <row r="619" spans="1:9" ht="15" customHeight="1" x14ac:dyDescent="0.2">
      <c r="A619" s="2">
        <v>45030</v>
      </c>
      <c r="C619" s="1" t="s">
        <v>17</v>
      </c>
      <c r="F619" s="159">
        <v>82</v>
      </c>
      <c r="G619" s="151">
        <v>1212944</v>
      </c>
      <c r="H619" s="6">
        <f t="shared" si="163"/>
        <v>-161866.10999999999</v>
      </c>
      <c r="I619" s="7">
        <f t="shared" si="163"/>
        <v>-2397064290.0960002</v>
      </c>
    </row>
    <row r="620" spans="1:9" ht="15" customHeight="1" x14ac:dyDescent="0.2">
      <c r="A620" s="2">
        <v>45065</v>
      </c>
      <c r="C620" s="1" t="s">
        <v>253</v>
      </c>
      <c r="D620" s="16">
        <v>161866.10999999999</v>
      </c>
      <c r="E620" s="32">
        <v>2385582729.1799998</v>
      </c>
      <c r="H620" s="3">
        <f t="shared" si="163"/>
        <v>0</v>
      </c>
      <c r="I620" s="4">
        <f t="shared" si="163"/>
        <v>-11481560.916000366</v>
      </c>
    </row>
    <row r="621" spans="1:9" ht="15" customHeight="1" x14ac:dyDescent="0.2">
      <c r="A621" s="2">
        <v>45077</v>
      </c>
      <c r="C621" s="1" t="s">
        <v>18</v>
      </c>
      <c r="E621" s="32">
        <v>11481560.92</v>
      </c>
      <c r="H621" s="3">
        <f t="shared" ref="H621:H626" si="164">+H620+D621-F621</f>
        <v>0</v>
      </c>
      <c r="I621" s="4">
        <f t="shared" ref="I621" si="165">+I620+E621-G621</f>
        <v>3.999633714556694E-3</v>
      </c>
    </row>
    <row r="622" spans="1:9" ht="15" customHeight="1" x14ac:dyDescent="0.2">
      <c r="A622" s="2">
        <v>45085</v>
      </c>
      <c r="B622" s="2"/>
      <c r="C622" s="1" t="s">
        <v>293</v>
      </c>
      <c r="D622" s="17"/>
      <c r="F622" s="196">
        <v>21627</v>
      </c>
      <c r="G622" s="72">
        <v>321701841.26999998</v>
      </c>
      <c r="H622" s="3">
        <f t="shared" si="164"/>
        <v>-21627</v>
      </c>
      <c r="I622" s="4">
        <f t="shared" ref="I622" si="166">+I621+E622-G622</f>
        <v>-321701841.26600033</v>
      </c>
    </row>
    <row r="623" spans="1:9" ht="15" customHeight="1" x14ac:dyDescent="0.2">
      <c r="A623" s="2">
        <v>45085</v>
      </c>
      <c r="B623" s="2"/>
      <c r="C623" s="1" t="s">
        <v>17</v>
      </c>
      <c r="D623" s="17"/>
      <c r="F623" s="196">
        <v>51</v>
      </c>
      <c r="G623" s="72">
        <v>758625.51</v>
      </c>
      <c r="H623" s="6">
        <f t="shared" si="164"/>
        <v>-21678</v>
      </c>
      <c r="I623" s="7">
        <f t="shared" ref="I623" si="167">+I622+E623-G623</f>
        <v>-322460466.77600032</v>
      </c>
    </row>
    <row r="624" spans="1:9" ht="15" customHeight="1" x14ac:dyDescent="0.2">
      <c r="A624" s="2">
        <v>45118</v>
      </c>
      <c r="B624" s="2"/>
      <c r="C624" s="1" t="s">
        <v>320</v>
      </c>
      <c r="F624" s="195">
        <v>48706.22</v>
      </c>
      <c r="G624" s="32">
        <v>739944894.24000001</v>
      </c>
      <c r="H624" s="3">
        <f t="shared" si="164"/>
        <v>-70384.22</v>
      </c>
      <c r="I624" s="4">
        <f>+I623+E624-G624</f>
        <v>-1062405361.0160003</v>
      </c>
    </row>
    <row r="625" spans="1:11" ht="15" customHeight="1" x14ac:dyDescent="0.2">
      <c r="A625" s="2">
        <v>45118</v>
      </c>
      <c r="B625" s="2"/>
      <c r="C625" s="1" t="s">
        <v>17</v>
      </c>
      <c r="F625" s="195">
        <v>51</v>
      </c>
      <c r="G625" s="32">
        <v>774792</v>
      </c>
      <c r="H625" s="3">
        <f t="shared" si="164"/>
        <v>-70435.22</v>
      </c>
      <c r="I625" s="4">
        <f>+I624+E625-G625</f>
        <v>-1063180153.0160003</v>
      </c>
    </row>
    <row r="626" spans="1:11" ht="15" customHeight="1" x14ac:dyDescent="0.2">
      <c r="A626" s="2">
        <v>45128</v>
      </c>
      <c r="B626" s="2"/>
      <c r="C626" s="1" t="s">
        <v>340</v>
      </c>
      <c r="D626" s="195">
        <v>70435.22</v>
      </c>
      <c r="E626" s="32">
        <v>1061670071.0599999</v>
      </c>
      <c r="H626" s="3">
        <f t="shared" si="164"/>
        <v>0</v>
      </c>
      <c r="I626" s="4">
        <f>+I625+E626-G626</f>
        <v>-1510081.9560003281</v>
      </c>
    </row>
    <row r="627" spans="1:11" ht="15" customHeight="1" x14ac:dyDescent="0.2">
      <c r="A627" s="2">
        <v>45138</v>
      </c>
      <c r="C627" s="1" t="s">
        <v>18</v>
      </c>
      <c r="E627" s="32">
        <v>1510081.96</v>
      </c>
      <c r="H627" s="3">
        <f t="shared" ref="H627" si="168">+H626+D627-F627</f>
        <v>0</v>
      </c>
      <c r="I627" s="4">
        <f>+I626+E627-G627</f>
        <v>3.9996718987822533E-3</v>
      </c>
      <c r="J627" s="4">
        <v>0</v>
      </c>
      <c r="K627" s="4">
        <v>0</v>
      </c>
    </row>
    <row r="633" spans="1:11" ht="15" customHeight="1" x14ac:dyDescent="0.2">
      <c r="A633" s="5" t="s">
        <v>0</v>
      </c>
    </row>
    <row r="634" spans="1:11" ht="15" customHeight="1" x14ac:dyDescent="0.2">
      <c r="A634" s="5" t="s">
        <v>15</v>
      </c>
    </row>
    <row r="635" spans="1:11" ht="15" customHeight="1" x14ac:dyDescent="0.2">
      <c r="A635" s="5" t="s">
        <v>20</v>
      </c>
    </row>
    <row r="636" spans="1:11" ht="15" customHeight="1" x14ac:dyDescent="0.2">
      <c r="A636" s="5" t="s">
        <v>159</v>
      </c>
    </row>
    <row r="638" spans="1:11" ht="15" customHeight="1" x14ac:dyDescent="0.2">
      <c r="A638" s="9" t="s">
        <v>3</v>
      </c>
      <c r="B638" s="8" t="s">
        <v>4</v>
      </c>
      <c r="C638" s="8" t="s">
        <v>5</v>
      </c>
      <c r="D638" s="229" t="s">
        <v>6</v>
      </c>
      <c r="E638" s="229"/>
      <c r="F638" s="229" t="s">
        <v>7</v>
      </c>
      <c r="G638" s="229"/>
      <c r="H638" s="229" t="s">
        <v>8</v>
      </c>
      <c r="I638" s="229"/>
    </row>
    <row r="639" spans="1:11" ht="15" customHeight="1" x14ac:dyDescent="0.2">
      <c r="A639" s="10"/>
      <c r="B639" s="11"/>
      <c r="C639" s="11" t="s">
        <v>9</v>
      </c>
      <c r="D639" s="12"/>
      <c r="E639" s="183"/>
      <c r="F639" s="103"/>
      <c r="G639" s="179"/>
      <c r="H639" s="12">
        <v>0</v>
      </c>
      <c r="I639" s="13">
        <v>0</v>
      </c>
    </row>
    <row r="640" spans="1:11" ht="15" customHeight="1" x14ac:dyDescent="0.2">
      <c r="A640" s="48">
        <v>44582</v>
      </c>
      <c r="B640" s="49"/>
      <c r="C640" s="49" t="s">
        <v>130</v>
      </c>
      <c r="D640" s="51"/>
      <c r="E640" s="55"/>
      <c r="F640" s="119">
        <v>14958</v>
      </c>
      <c r="G640" s="137">
        <v>214707132</v>
      </c>
      <c r="H640" s="51">
        <f>+H639+D640-F640</f>
        <v>-14958</v>
      </c>
      <c r="I640" s="50">
        <f>+I639+E640-G640</f>
        <v>-214707132</v>
      </c>
    </row>
    <row r="641" spans="1:11" ht="15" customHeight="1" x14ac:dyDescent="0.2">
      <c r="A641" s="48">
        <v>44582</v>
      </c>
      <c r="B641" s="49"/>
      <c r="C641" s="49" t="s">
        <v>17</v>
      </c>
      <c r="D641" s="51"/>
      <c r="E641" s="55"/>
      <c r="F641" s="119">
        <v>42</v>
      </c>
      <c r="G641" s="137">
        <v>602868</v>
      </c>
      <c r="H641" s="52">
        <f>+H640+D641-F641</f>
        <v>-15000</v>
      </c>
      <c r="I641" s="53">
        <f>+I640+E641-G641</f>
        <v>-215310000</v>
      </c>
    </row>
    <row r="642" spans="1:11" ht="15" customHeight="1" x14ac:dyDescent="0.2">
      <c r="A642" s="48">
        <v>44628</v>
      </c>
      <c r="B642" s="49"/>
      <c r="C642" s="49" t="s">
        <v>131</v>
      </c>
      <c r="D642" s="51"/>
      <c r="E642" s="55"/>
      <c r="F642" s="119">
        <v>114958</v>
      </c>
      <c r="G642" s="137">
        <v>1656660887.5799999</v>
      </c>
      <c r="H642" s="51">
        <f t="shared" ref="H642:H644" si="169">+H641+D642-F642</f>
        <v>-129958</v>
      </c>
      <c r="I642" s="50">
        <f t="shared" ref="I642:I644" si="170">+I641+E642-G642</f>
        <v>-1871970887.5799999</v>
      </c>
    </row>
    <row r="643" spans="1:11" ht="15" customHeight="1" x14ac:dyDescent="0.2">
      <c r="A643" s="48">
        <v>44628</v>
      </c>
      <c r="B643" s="49"/>
      <c r="C643" s="49" t="s">
        <v>17</v>
      </c>
      <c r="D643" s="51"/>
      <c r="E643" s="55"/>
      <c r="F643" s="119">
        <v>42</v>
      </c>
      <c r="G643" s="137">
        <v>605262.42000000004</v>
      </c>
      <c r="H643" s="51">
        <f t="shared" si="169"/>
        <v>-130000</v>
      </c>
      <c r="I643" s="50">
        <f t="shared" si="170"/>
        <v>-1872576150</v>
      </c>
    </row>
    <row r="644" spans="1:11" ht="15" customHeight="1" x14ac:dyDescent="0.2">
      <c r="A644" s="48">
        <v>44634</v>
      </c>
      <c r="B644" s="49"/>
      <c r="C644" s="49" t="s">
        <v>33</v>
      </c>
      <c r="D644" s="51">
        <v>77241.45</v>
      </c>
      <c r="E644" s="55">
        <v>1109882395.05</v>
      </c>
      <c r="F644" s="119"/>
      <c r="G644" s="137"/>
      <c r="H644" s="52">
        <f t="shared" si="169"/>
        <v>-52758.55</v>
      </c>
      <c r="I644" s="53">
        <f t="shared" si="170"/>
        <v>-762693754.95000005</v>
      </c>
    </row>
    <row r="645" spans="1:11" ht="15" customHeight="1" x14ac:dyDescent="0.2">
      <c r="A645" s="48">
        <v>44659</v>
      </c>
      <c r="B645" s="49"/>
      <c r="C645" s="49" t="s">
        <v>42</v>
      </c>
      <c r="D645" s="51">
        <v>76427.070000000007</v>
      </c>
      <c r="E645" s="55">
        <v>1097416298.1300001</v>
      </c>
      <c r="F645" s="119"/>
      <c r="G645" s="137"/>
      <c r="H645" s="51">
        <f t="shared" ref="H645:H646" si="171">+H644+D645-F645</f>
        <v>23668.520000000004</v>
      </c>
      <c r="I645" s="50">
        <f t="shared" ref="I645:I646" si="172">+I644+E645-G645</f>
        <v>334722543.18000007</v>
      </c>
    </row>
    <row r="646" spans="1:11" ht="15" customHeight="1" x14ac:dyDescent="0.2">
      <c r="A646" s="48">
        <v>44676</v>
      </c>
      <c r="B646" s="49"/>
      <c r="C646" s="49" t="s">
        <v>131</v>
      </c>
      <c r="D646" s="51"/>
      <c r="E646" s="55"/>
      <c r="F646" s="119">
        <v>33626.519999999997</v>
      </c>
      <c r="G646" s="137">
        <v>482910789.98000002</v>
      </c>
      <c r="H646" s="51">
        <f t="shared" si="171"/>
        <v>-9957.9999999999927</v>
      </c>
      <c r="I646" s="50">
        <f t="shared" si="172"/>
        <v>-148188246.79999995</v>
      </c>
    </row>
    <row r="647" spans="1:11" ht="15" customHeight="1" x14ac:dyDescent="0.2">
      <c r="A647" s="48">
        <v>44676</v>
      </c>
      <c r="B647" s="49"/>
      <c r="C647" s="49" t="s">
        <v>17</v>
      </c>
      <c r="D647" s="51"/>
      <c r="E647" s="55"/>
      <c r="F647" s="119">
        <v>42</v>
      </c>
      <c r="G647" s="137">
        <v>603162.42000000004</v>
      </c>
      <c r="H647" s="51">
        <f t="shared" ref="H647:H648" si="173">+H646+D647-F647</f>
        <v>-9999.9999999999927</v>
      </c>
      <c r="I647" s="50">
        <f t="shared" ref="I647:I648" si="174">+I646+E647-G647</f>
        <v>-148791409.21999994</v>
      </c>
    </row>
    <row r="648" spans="1:11" ht="15" customHeight="1" x14ac:dyDescent="0.2">
      <c r="A648" s="56">
        <v>44681</v>
      </c>
      <c r="B648" s="57"/>
      <c r="C648" s="57" t="s">
        <v>18</v>
      </c>
      <c r="D648" s="58"/>
      <c r="E648" s="187">
        <v>5251409.22</v>
      </c>
      <c r="F648" s="133"/>
      <c r="G648" s="182"/>
      <c r="H648" s="58">
        <f t="shared" si="173"/>
        <v>-9999.9999999999927</v>
      </c>
      <c r="I648" s="225">
        <f t="shared" si="174"/>
        <v>-143539999.99999994</v>
      </c>
    </row>
    <row r="649" spans="1:11" ht="15" customHeight="1" x14ac:dyDescent="0.2">
      <c r="A649" s="2">
        <v>44932</v>
      </c>
      <c r="C649" s="1" t="s">
        <v>461</v>
      </c>
      <c r="D649" s="3">
        <v>10000</v>
      </c>
      <c r="E649" s="32">
        <v>143540000</v>
      </c>
      <c r="H649" s="59">
        <f t="shared" ref="H649" si="175">+H648+D649-F649</f>
        <v>7.2759576141834259E-12</v>
      </c>
      <c r="I649" s="60">
        <f t="shared" ref="I649" si="176">+I648+E649-G649</f>
        <v>5.9604644775390625E-8</v>
      </c>
      <c r="J649" s="4">
        <v>0</v>
      </c>
      <c r="K649" s="4">
        <v>0</v>
      </c>
    </row>
    <row r="659" spans="1:9" ht="15" customHeight="1" x14ac:dyDescent="0.2">
      <c r="A659" s="5" t="s">
        <v>0</v>
      </c>
    </row>
    <row r="660" spans="1:9" ht="15" customHeight="1" x14ac:dyDescent="0.2">
      <c r="A660" s="5" t="s">
        <v>15</v>
      </c>
    </row>
    <row r="661" spans="1:9" ht="15" customHeight="1" x14ac:dyDescent="0.2">
      <c r="A661" s="5" t="s">
        <v>32</v>
      </c>
    </row>
    <row r="662" spans="1:9" ht="15" customHeight="1" x14ac:dyDescent="0.2">
      <c r="A662" s="5" t="s">
        <v>159</v>
      </c>
    </row>
    <row r="664" spans="1:9" ht="15" customHeight="1" x14ac:dyDescent="0.2">
      <c r="A664" s="9" t="s">
        <v>3</v>
      </c>
      <c r="B664" s="8" t="s">
        <v>4</v>
      </c>
      <c r="C664" s="8" t="s">
        <v>5</v>
      </c>
      <c r="D664" s="229" t="s">
        <v>6</v>
      </c>
      <c r="E664" s="229"/>
      <c r="F664" s="229" t="s">
        <v>7</v>
      </c>
      <c r="G664" s="229"/>
      <c r="H664" s="229" t="s">
        <v>8</v>
      </c>
      <c r="I664" s="229"/>
    </row>
    <row r="665" spans="1:9" ht="15" customHeight="1" x14ac:dyDescent="0.2">
      <c r="A665" s="48">
        <v>44879</v>
      </c>
      <c r="B665" s="49"/>
      <c r="C665" s="49" t="s">
        <v>474</v>
      </c>
      <c r="D665" s="51"/>
      <c r="E665" s="55"/>
      <c r="F665" s="119">
        <f>75018-15172-14772-15172-14772</f>
        <v>15130</v>
      </c>
      <c r="G665" s="137">
        <f>1162253874-235059796-228862596-235059796-228862596</f>
        <v>234409090</v>
      </c>
      <c r="H665" s="51">
        <f>+D665-F665</f>
        <v>-15130</v>
      </c>
      <c r="I665" s="50">
        <f>+E665-G665</f>
        <v>-234409090</v>
      </c>
    </row>
    <row r="666" spans="1:9" ht="15" customHeight="1" x14ac:dyDescent="0.2">
      <c r="A666" s="48">
        <v>44879</v>
      </c>
      <c r="B666" s="49"/>
      <c r="C666" s="49" t="s">
        <v>374</v>
      </c>
      <c r="D666" s="51"/>
      <c r="E666" s="55"/>
      <c r="F666" s="203">
        <v>14772</v>
      </c>
      <c r="G666" s="137">
        <v>228862596</v>
      </c>
      <c r="H666" s="51">
        <f t="shared" ref="H666:I668" si="177">+H665+D666-F666</f>
        <v>-29902</v>
      </c>
      <c r="I666" s="50">
        <f t="shared" si="177"/>
        <v>-463271686</v>
      </c>
    </row>
    <row r="667" spans="1:9" ht="15" customHeight="1" x14ac:dyDescent="0.2">
      <c r="A667" s="48">
        <v>44879</v>
      </c>
      <c r="B667" s="49"/>
      <c r="C667" s="49" t="s">
        <v>316</v>
      </c>
      <c r="D667" s="51"/>
      <c r="E667" s="55"/>
      <c r="F667" s="190">
        <v>15172</v>
      </c>
      <c r="G667" s="137">
        <v>235059796</v>
      </c>
      <c r="H667" s="51">
        <f t="shared" si="177"/>
        <v>-45074</v>
      </c>
      <c r="I667" s="50">
        <f t="shared" si="177"/>
        <v>-698331482</v>
      </c>
    </row>
    <row r="668" spans="1:9" ht="15" customHeight="1" x14ac:dyDescent="0.2">
      <c r="A668" s="48">
        <v>44879</v>
      </c>
      <c r="B668" s="49"/>
      <c r="C668" s="49" t="s">
        <v>287</v>
      </c>
      <c r="D668" s="51"/>
      <c r="E668" s="55"/>
      <c r="F668" s="107">
        <v>14772</v>
      </c>
      <c r="G668" s="137">
        <v>228862596</v>
      </c>
      <c r="H668" s="51">
        <f t="shared" si="177"/>
        <v>-59846</v>
      </c>
      <c r="I668" s="50">
        <f t="shared" si="177"/>
        <v>-927194078</v>
      </c>
    </row>
    <row r="669" spans="1:9" ht="15" customHeight="1" x14ac:dyDescent="0.2">
      <c r="A669" s="48">
        <v>44879</v>
      </c>
      <c r="B669" s="49"/>
      <c r="C669" s="49" t="s">
        <v>17</v>
      </c>
      <c r="D669" s="51"/>
      <c r="E669" s="55"/>
      <c r="F669" s="119">
        <v>42</v>
      </c>
      <c r="G669" s="137">
        <v>650706</v>
      </c>
      <c r="H669" s="51">
        <f t="shared" ref="H669:I671" si="178">+H668+D669-F669</f>
        <v>-59888</v>
      </c>
      <c r="I669" s="50">
        <f t="shared" si="178"/>
        <v>-927844784</v>
      </c>
    </row>
    <row r="670" spans="1:9" ht="15" customHeight="1" x14ac:dyDescent="0.2">
      <c r="A670" s="48">
        <v>44901</v>
      </c>
      <c r="B670" s="49"/>
      <c r="C670" s="49" t="s">
        <v>206</v>
      </c>
      <c r="D670" s="51"/>
      <c r="E670" s="55"/>
      <c r="F670" s="122">
        <f>14772-10.5</f>
        <v>14761.5</v>
      </c>
      <c r="G670" s="137">
        <v>227459953.5</v>
      </c>
      <c r="H670" s="51">
        <f t="shared" si="178"/>
        <v>-74649.5</v>
      </c>
      <c r="I670" s="50">
        <f t="shared" si="178"/>
        <v>-1155304737.5</v>
      </c>
    </row>
    <row r="671" spans="1:9" ht="15" customHeight="1" x14ac:dyDescent="0.2">
      <c r="A671" s="48"/>
      <c r="B671" s="49"/>
      <c r="C671" s="49" t="s">
        <v>17</v>
      </c>
      <c r="D671" s="51"/>
      <c r="E671" s="55"/>
      <c r="F671" s="122">
        <v>10.5</v>
      </c>
      <c r="G671" s="137">
        <v>161794.5</v>
      </c>
      <c r="H671" s="51">
        <f t="shared" si="178"/>
        <v>-74660</v>
      </c>
      <c r="I671" s="50">
        <f t="shared" si="178"/>
        <v>-1155466532</v>
      </c>
    </row>
    <row r="672" spans="1:9" ht="15" customHeight="1" x14ac:dyDescent="0.2">
      <c r="A672" s="48">
        <v>44901</v>
      </c>
      <c r="B672" s="49"/>
      <c r="C672" s="1" t="s">
        <v>227</v>
      </c>
      <c r="D672" s="51"/>
      <c r="E672" s="55"/>
      <c r="F672" s="122">
        <f t="shared" ref="F672:F676" si="179">14772-10.5</f>
        <v>14761.5</v>
      </c>
      <c r="G672" s="137">
        <v>227459953.5</v>
      </c>
      <c r="H672" s="51">
        <f t="shared" ref="H672:H673" si="180">+H671+D672-F672</f>
        <v>-89421.5</v>
      </c>
      <c r="I672" s="50">
        <f t="shared" ref="I672:I674" si="181">+I671+E672-G672</f>
        <v>-1382926485.5</v>
      </c>
    </row>
    <row r="673" spans="1:9" ht="15" customHeight="1" x14ac:dyDescent="0.2">
      <c r="A673" s="48"/>
      <c r="B673" s="75"/>
      <c r="C673" s="49" t="s">
        <v>17</v>
      </c>
      <c r="D673" s="77"/>
      <c r="E673" s="185"/>
      <c r="F673" s="134">
        <v>10.5</v>
      </c>
      <c r="G673" s="181">
        <v>161794.5</v>
      </c>
      <c r="H673" s="51">
        <f t="shared" si="180"/>
        <v>-89432</v>
      </c>
      <c r="I673" s="50">
        <f t="shared" si="181"/>
        <v>-1383088280</v>
      </c>
    </row>
    <row r="674" spans="1:9" ht="15" customHeight="1" x14ac:dyDescent="0.2">
      <c r="A674" s="48">
        <v>44901</v>
      </c>
      <c r="B674" s="75"/>
      <c r="C674" s="49" t="s">
        <v>281</v>
      </c>
      <c r="D674" s="77"/>
      <c r="E674" s="185"/>
      <c r="F674" s="164">
        <f>14772-10.5</f>
        <v>14761.5</v>
      </c>
      <c r="G674" s="181">
        <v>227459953.5</v>
      </c>
      <c r="H674" s="51">
        <f>+H673+D674-F674</f>
        <v>-104193.5</v>
      </c>
      <c r="I674" s="50">
        <f t="shared" si="181"/>
        <v>-1610548233.5</v>
      </c>
    </row>
    <row r="675" spans="1:9" ht="15" customHeight="1" x14ac:dyDescent="0.2">
      <c r="A675" s="48"/>
      <c r="B675" s="75"/>
      <c r="C675" s="49" t="s">
        <v>17</v>
      </c>
      <c r="D675" s="77"/>
      <c r="E675" s="185"/>
      <c r="F675" s="164">
        <v>10.5</v>
      </c>
      <c r="G675" s="181">
        <v>161794.5</v>
      </c>
      <c r="H675" s="51">
        <f>+H674+D675-F675</f>
        <v>-104204</v>
      </c>
      <c r="I675" s="50">
        <f t="shared" ref="I675:I676" si="182">+I674+E675-G675</f>
        <v>-1610710028</v>
      </c>
    </row>
    <row r="676" spans="1:9" ht="15" customHeight="1" x14ac:dyDescent="0.2">
      <c r="A676" s="48">
        <v>44901</v>
      </c>
      <c r="B676" s="75"/>
      <c r="C676" s="49" t="s">
        <v>353</v>
      </c>
      <c r="D676" s="77"/>
      <c r="E676" s="185"/>
      <c r="F676" s="128">
        <f t="shared" si="179"/>
        <v>14761.5</v>
      </c>
      <c r="G676" s="181">
        <v>227459953.5</v>
      </c>
      <c r="H676" s="51">
        <f>+H675+D676-F676</f>
        <v>-118965.5</v>
      </c>
      <c r="I676" s="50">
        <f t="shared" si="182"/>
        <v>-1838169981.5</v>
      </c>
    </row>
    <row r="677" spans="1:9" ht="15" customHeight="1" x14ac:dyDescent="0.2">
      <c r="A677" s="76">
        <v>44901</v>
      </c>
      <c r="C677" s="75" t="s">
        <v>17</v>
      </c>
      <c r="D677" s="77"/>
      <c r="E677" s="185"/>
      <c r="F677" s="128">
        <f>42-10.5-10.5-10.5</f>
        <v>10.5</v>
      </c>
      <c r="G677" s="181">
        <f>647178-161794.5-161794.5-161794.5</f>
        <v>161794.5</v>
      </c>
      <c r="H677" s="51">
        <f t="shared" ref="H677" si="183">+H676+D677-F677</f>
        <v>-118976</v>
      </c>
      <c r="I677" s="50">
        <f t="shared" ref="I677" si="184">+I676+E677-G677</f>
        <v>-1838331776</v>
      </c>
    </row>
    <row r="678" spans="1:9" ht="15" customHeight="1" x14ac:dyDescent="0.2">
      <c r="A678" s="76"/>
      <c r="C678" s="75"/>
      <c r="D678" s="77"/>
      <c r="E678" s="185"/>
      <c r="F678" s="126"/>
      <c r="G678" s="181">
        <f>+G677/F677</f>
        <v>15409</v>
      </c>
      <c r="H678" s="79"/>
      <c r="I678" s="80"/>
    </row>
    <row r="679" spans="1:9" ht="15" customHeight="1" x14ac:dyDescent="0.2">
      <c r="A679" s="76"/>
      <c r="C679" s="75" t="s">
        <v>9</v>
      </c>
      <c r="D679" s="77"/>
      <c r="E679" s="185"/>
      <c r="F679" s="126"/>
      <c r="G679" s="181"/>
      <c r="H679" s="77">
        <v>-178708</v>
      </c>
      <c r="I679" s="78">
        <v>-2768349332</v>
      </c>
    </row>
    <row r="680" spans="1:9" ht="15" customHeight="1" x14ac:dyDescent="0.2">
      <c r="A680" s="76">
        <v>44929</v>
      </c>
      <c r="C680" s="75" t="s">
        <v>382</v>
      </c>
      <c r="D680" s="77"/>
      <c r="E680" s="185"/>
      <c r="F680" s="211">
        <f>44674-15172-14772</f>
        <v>14730</v>
      </c>
      <c r="G680" s="181">
        <f>695663528-236258384-230029584</f>
        <v>229375560</v>
      </c>
      <c r="H680" s="77">
        <f t="shared" ref="H680:I685" si="185">+H679+D680-F680</f>
        <v>-193438</v>
      </c>
      <c r="I680" s="78">
        <f t="shared" si="185"/>
        <v>-2997724892</v>
      </c>
    </row>
    <row r="681" spans="1:9" ht="15" customHeight="1" x14ac:dyDescent="0.2">
      <c r="A681" s="76">
        <v>44929</v>
      </c>
      <c r="C681" s="1" t="s">
        <v>318</v>
      </c>
      <c r="D681" s="77"/>
      <c r="E681" s="185"/>
      <c r="F681" s="191">
        <v>14772</v>
      </c>
      <c r="G681" s="181">
        <v>230029584</v>
      </c>
      <c r="H681" s="77">
        <f t="shared" si="185"/>
        <v>-208210</v>
      </c>
      <c r="I681" s="78">
        <f t="shared" si="185"/>
        <v>-3227754476</v>
      </c>
    </row>
    <row r="682" spans="1:9" ht="15" customHeight="1" x14ac:dyDescent="0.2">
      <c r="A682" s="76">
        <v>44929</v>
      </c>
      <c r="C682" s="1" t="s">
        <v>317</v>
      </c>
      <c r="D682" s="77"/>
      <c r="E682" s="185"/>
      <c r="F682" s="191">
        <v>15172</v>
      </c>
      <c r="G682" s="181">
        <v>236258384</v>
      </c>
      <c r="H682" s="77">
        <f t="shared" si="185"/>
        <v>-223382</v>
      </c>
      <c r="I682" s="78">
        <f t="shared" si="185"/>
        <v>-3464012860</v>
      </c>
    </row>
    <row r="683" spans="1:9" ht="15" customHeight="1" x14ac:dyDescent="0.2">
      <c r="A683" s="76">
        <v>44929</v>
      </c>
      <c r="C683" s="75" t="s">
        <v>382</v>
      </c>
      <c r="D683" s="77"/>
      <c r="E683" s="185"/>
      <c r="F683" s="211">
        <v>42</v>
      </c>
      <c r="G683" s="181">
        <v>654024</v>
      </c>
      <c r="H683" s="77">
        <f t="shared" si="185"/>
        <v>-223424</v>
      </c>
      <c r="I683" s="78">
        <f t="shared" si="185"/>
        <v>-3464666884</v>
      </c>
    </row>
    <row r="684" spans="1:9" ht="15" customHeight="1" x14ac:dyDescent="0.2">
      <c r="A684" s="76">
        <v>44937</v>
      </c>
      <c r="C684" s="75" t="s">
        <v>465</v>
      </c>
      <c r="D684" s="77"/>
      <c r="E684" s="185"/>
      <c r="F684" s="126">
        <v>16891</v>
      </c>
      <c r="G684" s="181">
        <v>263313799</v>
      </c>
      <c r="H684" s="77">
        <f t="shared" si="185"/>
        <v>-240315</v>
      </c>
      <c r="I684" s="78">
        <f t="shared" si="185"/>
        <v>-3727980683</v>
      </c>
    </row>
    <row r="685" spans="1:9" ht="15" customHeight="1" x14ac:dyDescent="0.2">
      <c r="A685" s="76">
        <v>44937</v>
      </c>
      <c r="C685" s="75" t="s">
        <v>17</v>
      </c>
      <c r="D685" s="77"/>
      <c r="E685" s="185"/>
      <c r="F685" s="126">
        <v>27</v>
      </c>
      <c r="G685" s="181">
        <v>420903</v>
      </c>
      <c r="H685" s="77">
        <f t="shared" si="185"/>
        <v>-240342</v>
      </c>
      <c r="I685" s="78">
        <f t="shared" si="185"/>
        <v>-3728401586</v>
      </c>
    </row>
    <row r="686" spans="1:9" ht="15" customHeight="1" x14ac:dyDescent="0.2">
      <c r="A686" s="76">
        <v>44937</v>
      </c>
      <c r="C686" s="75" t="s">
        <v>466</v>
      </c>
      <c r="D686" s="77">
        <v>16918</v>
      </c>
      <c r="E686" s="185">
        <v>263734702</v>
      </c>
      <c r="F686" s="126"/>
      <c r="G686" s="181"/>
      <c r="H686" s="77">
        <f t="shared" ref="H686:H687" si="186">+H685+D686-F686</f>
        <v>-223424</v>
      </c>
      <c r="I686" s="78">
        <f t="shared" ref="I686:I687" si="187">+I685+E686-G686</f>
        <v>-3464666884</v>
      </c>
    </row>
    <row r="687" spans="1:9" ht="15" customHeight="1" x14ac:dyDescent="0.2">
      <c r="A687" s="76">
        <v>44943</v>
      </c>
      <c r="B687" s="2"/>
      <c r="C687" s="75" t="s">
        <v>142</v>
      </c>
      <c r="D687" s="77"/>
      <c r="E687" s="185"/>
      <c r="F687" s="135">
        <v>58006.55</v>
      </c>
      <c r="G687" s="181">
        <v>871200374.45000005</v>
      </c>
      <c r="H687" s="77">
        <f t="shared" si="186"/>
        <v>-281430.55</v>
      </c>
      <c r="I687" s="78">
        <f t="shared" si="187"/>
        <v>-4335867258.4499998</v>
      </c>
    </row>
    <row r="688" spans="1:9" ht="15" customHeight="1" x14ac:dyDescent="0.2">
      <c r="A688" s="76">
        <v>44943</v>
      </c>
      <c r="B688" s="2"/>
      <c r="C688" s="75" t="s">
        <v>17</v>
      </c>
      <c r="D688" s="77"/>
      <c r="E688" s="185"/>
      <c r="F688" s="135">
        <v>42</v>
      </c>
      <c r="G688" s="181">
        <v>630798</v>
      </c>
      <c r="H688" s="77">
        <f t="shared" ref="H688:H699" si="188">+H687+D688-F688</f>
        <v>-281472.55</v>
      </c>
      <c r="I688" s="78">
        <f t="shared" ref="I688:I699" si="189">+I687+E688-G688</f>
        <v>-4336498056.4499998</v>
      </c>
    </row>
    <row r="689" spans="1:9" ht="15" customHeight="1" x14ac:dyDescent="0.2">
      <c r="A689" s="76">
        <v>44944</v>
      </c>
      <c r="B689" s="2"/>
      <c r="C689" s="75" t="s">
        <v>143</v>
      </c>
      <c r="D689" s="77"/>
      <c r="E689" s="185"/>
      <c r="F689" s="135">
        <v>57887.57</v>
      </c>
      <c r="G689" s="137">
        <v>877228235.77999997</v>
      </c>
      <c r="H689" s="77">
        <f t="shared" si="188"/>
        <v>-339360.12</v>
      </c>
      <c r="I689" s="78">
        <f t="shared" si="189"/>
        <v>-5213726292.2299995</v>
      </c>
    </row>
    <row r="690" spans="1:9" ht="15" customHeight="1" x14ac:dyDescent="0.2">
      <c r="A690" s="76">
        <v>44944</v>
      </c>
      <c r="B690" s="2"/>
      <c r="C690" s="75" t="s">
        <v>17</v>
      </c>
      <c r="D690" s="77"/>
      <c r="E690" s="185"/>
      <c r="F690" s="135">
        <v>42</v>
      </c>
      <c r="G690" s="137">
        <v>636468</v>
      </c>
      <c r="H690" s="77">
        <f t="shared" si="188"/>
        <v>-339402.12</v>
      </c>
      <c r="I690" s="78">
        <f t="shared" si="189"/>
        <v>-5214362760.2299995</v>
      </c>
    </row>
    <row r="691" spans="1:9" ht="15" customHeight="1" x14ac:dyDescent="0.2">
      <c r="A691" s="76">
        <v>44944</v>
      </c>
      <c r="B691" s="2"/>
      <c r="C691" s="75" t="s">
        <v>144</v>
      </c>
      <c r="D691" s="77"/>
      <c r="E691" s="185"/>
      <c r="F691" s="135">
        <v>57775.85</v>
      </c>
      <c r="G691" s="137">
        <v>875535230.89999998</v>
      </c>
      <c r="H691" s="77">
        <f t="shared" si="188"/>
        <v>-397177.97</v>
      </c>
      <c r="I691" s="78">
        <f t="shared" si="189"/>
        <v>-6089897991.1299992</v>
      </c>
    </row>
    <row r="692" spans="1:9" ht="15" customHeight="1" x14ac:dyDescent="0.2">
      <c r="A692" s="76">
        <v>44944</v>
      </c>
      <c r="B692" s="2"/>
      <c r="C692" s="75" t="s">
        <v>17</v>
      </c>
      <c r="D692" s="77"/>
      <c r="E692" s="185"/>
      <c r="F692" s="135">
        <v>42</v>
      </c>
      <c r="G692" s="137">
        <v>636468</v>
      </c>
      <c r="H692" s="77">
        <f t="shared" si="188"/>
        <v>-397219.97</v>
      </c>
      <c r="I692" s="78">
        <f t="shared" si="189"/>
        <v>-6090534459.1299992</v>
      </c>
    </row>
    <row r="693" spans="1:9" ht="15" customHeight="1" x14ac:dyDescent="0.2">
      <c r="A693" s="76">
        <v>44946</v>
      </c>
      <c r="B693" s="2"/>
      <c r="C693" s="75" t="s">
        <v>152</v>
      </c>
      <c r="D693" s="89">
        <v>73049.570000000007</v>
      </c>
      <c r="E693" s="185">
        <v>1128396707.79</v>
      </c>
      <c r="F693" s="126"/>
      <c r="G693" s="137"/>
      <c r="H693" s="77">
        <f t="shared" si="188"/>
        <v>-324170.39999999997</v>
      </c>
      <c r="I693" s="78">
        <f t="shared" si="189"/>
        <v>-4962137751.3399992</v>
      </c>
    </row>
    <row r="694" spans="1:9" ht="15" customHeight="1" x14ac:dyDescent="0.2">
      <c r="A694" s="76">
        <v>44946</v>
      </c>
      <c r="B694" s="2"/>
      <c r="C694" s="75" t="s">
        <v>146</v>
      </c>
      <c r="D694" s="77"/>
      <c r="E694" s="185"/>
      <c r="F694" s="135">
        <v>57707.35</v>
      </c>
      <c r="G694" s="137">
        <v>872131180.54999995</v>
      </c>
      <c r="H694" s="77">
        <f t="shared" si="188"/>
        <v>-381877.74999999994</v>
      </c>
      <c r="I694" s="78">
        <f t="shared" si="189"/>
        <v>-5834268931.8899994</v>
      </c>
    </row>
    <row r="695" spans="1:9" ht="15" customHeight="1" x14ac:dyDescent="0.2">
      <c r="A695" s="76">
        <v>44946</v>
      </c>
      <c r="B695" s="2"/>
      <c r="C695" s="75" t="s">
        <v>17</v>
      </c>
      <c r="D695" s="77"/>
      <c r="E695" s="185"/>
      <c r="F695" s="135">
        <v>42</v>
      </c>
      <c r="G695" s="137">
        <v>634746</v>
      </c>
      <c r="H695" s="77">
        <f t="shared" si="188"/>
        <v>-381919.74999999994</v>
      </c>
      <c r="I695" s="78">
        <f t="shared" si="189"/>
        <v>-5834903677.8899994</v>
      </c>
    </row>
    <row r="696" spans="1:9" ht="15" customHeight="1" x14ac:dyDescent="0.2">
      <c r="A696" s="76">
        <v>44946</v>
      </c>
      <c r="B696" s="2"/>
      <c r="C696" s="75" t="s">
        <v>153</v>
      </c>
      <c r="D696" s="89">
        <v>72921.350000000006</v>
      </c>
      <c r="E696" s="185">
        <v>1126416093.45</v>
      </c>
      <c r="F696" s="126"/>
      <c r="G696" s="181"/>
      <c r="H696" s="77">
        <f t="shared" si="188"/>
        <v>-308998.39999999991</v>
      </c>
      <c r="I696" s="78">
        <f t="shared" si="189"/>
        <v>-4708487584.4399996</v>
      </c>
    </row>
    <row r="697" spans="1:9" ht="15" customHeight="1" x14ac:dyDescent="0.2">
      <c r="A697" s="76">
        <v>44946</v>
      </c>
      <c r="B697" s="2"/>
      <c r="C697" s="75" t="s">
        <v>150</v>
      </c>
      <c r="D697" s="89">
        <v>72768.55</v>
      </c>
      <c r="E697" s="185">
        <v>1124055791.8499999</v>
      </c>
      <c r="F697" s="126"/>
      <c r="G697" s="181"/>
      <c r="H697" s="77">
        <f t="shared" si="188"/>
        <v>-236229.84999999992</v>
      </c>
      <c r="I697" s="78">
        <f t="shared" si="189"/>
        <v>-3584431792.5899997</v>
      </c>
    </row>
    <row r="698" spans="1:9" ht="15" customHeight="1" x14ac:dyDescent="0.2">
      <c r="A698" s="76">
        <v>44946</v>
      </c>
      <c r="B698" s="2"/>
      <c r="C698" s="75" t="s">
        <v>151</v>
      </c>
      <c r="D698" s="89">
        <v>72537.850000000006</v>
      </c>
      <c r="E698" s="185">
        <v>1120492168.95</v>
      </c>
      <c r="F698" s="126"/>
      <c r="G698" s="181"/>
      <c r="H698" s="77">
        <f t="shared" si="188"/>
        <v>-163691.99999999991</v>
      </c>
      <c r="I698" s="78">
        <f t="shared" si="189"/>
        <v>-2463939623.6399994</v>
      </c>
    </row>
    <row r="699" spans="1:9" ht="15" customHeight="1" x14ac:dyDescent="0.2">
      <c r="A699" s="76">
        <v>44957</v>
      </c>
      <c r="C699" s="75" t="s">
        <v>18</v>
      </c>
      <c r="D699" s="77"/>
      <c r="E699" s="185"/>
      <c r="F699" s="126"/>
      <c r="G699" s="181">
        <f>305769500.36-235059796</f>
        <v>70709704.360000014</v>
      </c>
      <c r="H699" s="79">
        <f t="shared" si="188"/>
        <v>-163691.99999999991</v>
      </c>
      <c r="I699" s="80">
        <f t="shared" si="189"/>
        <v>-2534649327.9999995</v>
      </c>
    </row>
    <row r="700" spans="1:9" ht="15" customHeight="1" x14ac:dyDescent="0.2">
      <c r="A700" s="2">
        <v>44981</v>
      </c>
      <c r="C700" s="1" t="s">
        <v>173</v>
      </c>
      <c r="D700" s="18">
        <v>75983.31</v>
      </c>
      <c r="E700" s="32">
        <v>1154262462.21</v>
      </c>
      <c r="H700" s="77">
        <f t="shared" ref="H700:H708" si="190">+H699+D700-F700</f>
        <v>-87708.689999999915</v>
      </c>
      <c r="I700" s="78">
        <f t="shared" ref="I700:I708" si="191">+I699+E700-G700</f>
        <v>-1380386865.7899995</v>
      </c>
    </row>
    <row r="701" spans="1:9" ht="15" customHeight="1" x14ac:dyDescent="0.2">
      <c r="A701" s="2">
        <v>45002</v>
      </c>
      <c r="B701" s="2"/>
      <c r="C701" s="1" t="s">
        <v>205</v>
      </c>
      <c r="D701" s="97">
        <v>75311.759999999995</v>
      </c>
      <c r="E701" s="32">
        <v>1160102351.04</v>
      </c>
      <c r="H701" s="77">
        <f t="shared" si="190"/>
        <v>-12396.92999999992</v>
      </c>
      <c r="I701" s="78">
        <f t="shared" si="191"/>
        <v>-220284514.74999952</v>
      </c>
    </row>
    <row r="702" spans="1:9" ht="15" customHeight="1" x14ac:dyDescent="0.2">
      <c r="A702" s="2">
        <v>44986</v>
      </c>
      <c r="B702" s="2"/>
      <c r="C702" s="1" t="s">
        <v>206</v>
      </c>
      <c r="D702" s="17"/>
      <c r="F702" s="120">
        <v>61169.31</v>
      </c>
      <c r="G702" s="151">
        <v>932220284.39999998</v>
      </c>
      <c r="H702" s="77">
        <f t="shared" si="190"/>
        <v>-73566.239999999918</v>
      </c>
      <c r="I702" s="78">
        <f t="shared" si="191"/>
        <v>-1152504799.1499996</v>
      </c>
    </row>
    <row r="703" spans="1:9" ht="15" customHeight="1" x14ac:dyDescent="0.2">
      <c r="A703" s="2">
        <v>44986</v>
      </c>
      <c r="C703" s="1" t="s">
        <v>17</v>
      </c>
      <c r="F703" s="120">
        <v>42</v>
      </c>
      <c r="G703" s="151">
        <v>640080</v>
      </c>
      <c r="H703" s="77">
        <f t="shared" si="190"/>
        <v>-73608.239999999918</v>
      </c>
      <c r="I703" s="78">
        <f t="shared" si="191"/>
        <v>-1153144879.1499996</v>
      </c>
    </row>
    <row r="704" spans="1:9" ht="15" customHeight="1" x14ac:dyDescent="0.2">
      <c r="A704" s="2">
        <v>45005</v>
      </c>
      <c r="C704" s="1" t="s">
        <v>227</v>
      </c>
      <c r="F704" s="120">
        <v>60497.760000000002</v>
      </c>
      <c r="G704" s="151">
        <v>929487584.63999999</v>
      </c>
      <c r="H704" s="77">
        <f t="shared" si="190"/>
        <v>-134105.99999999991</v>
      </c>
      <c r="I704" s="78">
        <f t="shared" si="191"/>
        <v>-2082632463.7899995</v>
      </c>
    </row>
    <row r="705" spans="1:9" ht="15" customHeight="1" x14ac:dyDescent="0.2">
      <c r="A705" s="2">
        <v>45005</v>
      </c>
      <c r="C705" s="1" t="s">
        <v>17</v>
      </c>
      <c r="F705" s="120">
        <v>42</v>
      </c>
      <c r="G705" s="151">
        <v>645288</v>
      </c>
      <c r="H705" s="77">
        <f t="shared" si="190"/>
        <v>-134147.99999999991</v>
      </c>
      <c r="I705" s="78">
        <f t="shared" si="191"/>
        <v>-2083277751.7899995</v>
      </c>
    </row>
    <row r="706" spans="1:9" ht="15" customHeight="1" x14ac:dyDescent="0.2">
      <c r="A706" s="2">
        <v>45009</v>
      </c>
      <c r="C706" s="1" t="s">
        <v>474</v>
      </c>
      <c r="F706" s="102">
        <v>59377.5</v>
      </c>
      <c r="G706" s="151">
        <v>911385247.5</v>
      </c>
      <c r="H706" s="77">
        <f t="shared" si="190"/>
        <v>-193525.49999999991</v>
      </c>
      <c r="I706" s="78">
        <f t="shared" si="191"/>
        <v>-2994662999.2899995</v>
      </c>
    </row>
    <row r="707" spans="1:9" ht="15" customHeight="1" x14ac:dyDescent="0.2">
      <c r="A707" s="2">
        <v>45009</v>
      </c>
      <c r="C707" s="1" t="s">
        <v>17</v>
      </c>
      <c r="F707" s="102">
        <v>42</v>
      </c>
      <c r="G707" s="151">
        <v>644658</v>
      </c>
      <c r="H707" s="77">
        <f t="shared" si="190"/>
        <v>-193567.49999999991</v>
      </c>
      <c r="I707" s="78">
        <f t="shared" si="191"/>
        <v>-2995307657.2899995</v>
      </c>
    </row>
    <row r="708" spans="1:9" ht="15" customHeight="1" x14ac:dyDescent="0.2">
      <c r="A708" s="2">
        <v>45016</v>
      </c>
      <c r="C708" s="1" t="s">
        <v>18</v>
      </c>
      <c r="E708" s="32">
        <f>3871919.79+22324473</f>
        <v>26196392.789999999</v>
      </c>
      <c r="H708" s="79">
        <f t="shared" si="190"/>
        <v>-193567.49999999991</v>
      </c>
      <c r="I708" s="80">
        <f t="shared" si="191"/>
        <v>-2969111264.4999995</v>
      </c>
    </row>
    <row r="709" spans="1:9" ht="15" customHeight="1" x14ac:dyDescent="0.2">
      <c r="A709" s="2">
        <v>45022</v>
      </c>
      <c r="C709" s="1" t="s">
        <v>234</v>
      </c>
      <c r="D709" s="3">
        <v>74591.5</v>
      </c>
      <c r="E709" s="32">
        <v>1124765228.5</v>
      </c>
      <c r="H709" s="79">
        <f t="shared" ref="H709" si="192">+H708+D709-F709</f>
        <v>-118975.99999999991</v>
      </c>
      <c r="I709" s="80">
        <f t="shared" ref="I709" si="193">+I708+E709-G709</f>
        <v>-1844346035.9999995</v>
      </c>
    </row>
    <row r="710" spans="1:9" ht="15" customHeight="1" x14ac:dyDescent="0.2">
      <c r="A710" s="2">
        <v>45069</v>
      </c>
      <c r="C710" s="1" t="s">
        <v>287</v>
      </c>
      <c r="F710" s="34">
        <v>59747.39</v>
      </c>
      <c r="G710" s="32">
        <v>890056868.83000004</v>
      </c>
      <c r="H710" s="77">
        <f t="shared" ref="H710" si="194">+H709+D710-F710</f>
        <v>-178723.3899999999</v>
      </c>
      <c r="I710" s="78">
        <f t="shared" ref="I710" si="195">+I709+E710-G710</f>
        <v>-2734402904.8299994</v>
      </c>
    </row>
    <row r="711" spans="1:9" ht="15" customHeight="1" x14ac:dyDescent="0.2">
      <c r="A711" s="2">
        <v>45069</v>
      </c>
      <c r="C711" s="1" t="s">
        <v>17</v>
      </c>
      <c r="D711" s="17"/>
      <c r="F711" s="163">
        <v>42</v>
      </c>
      <c r="G711" s="32">
        <v>625674</v>
      </c>
      <c r="H711" s="79">
        <f t="shared" ref="H711" si="196">+H710+D711-F711</f>
        <v>-178765.3899999999</v>
      </c>
      <c r="I711" s="80">
        <f t="shared" ref="I711" si="197">+I710+E711-G711</f>
        <v>-2735028578.8299994</v>
      </c>
    </row>
    <row r="712" spans="1:9" ht="15" customHeight="1" x14ac:dyDescent="0.2">
      <c r="A712" s="2">
        <v>45086</v>
      </c>
      <c r="B712" s="2"/>
      <c r="C712" s="1" t="s">
        <v>281</v>
      </c>
      <c r="F712" s="16">
        <v>59648.82</v>
      </c>
      <c r="G712" s="32">
        <v>888946364.46000004</v>
      </c>
      <c r="H712" s="3">
        <f t="shared" ref="H712:I715" si="198">+H711+D712-F712</f>
        <v>-238414.2099999999</v>
      </c>
      <c r="I712" s="4">
        <f t="shared" si="198"/>
        <v>-3623974943.2899995</v>
      </c>
    </row>
    <row r="713" spans="1:9" ht="15" customHeight="1" x14ac:dyDescent="0.2">
      <c r="A713" s="2">
        <v>45086</v>
      </c>
      <c r="B713" s="2"/>
      <c r="C713" s="1" t="s">
        <v>17</v>
      </c>
      <c r="F713" s="16">
        <v>42</v>
      </c>
      <c r="G713" s="32">
        <v>625926</v>
      </c>
      <c r="H713" s="3">
        <f t="shared" si="198"/>
        <v>-238456.2099999999</v>
      </c>
      <c r="I713" s="4">
        <f t="shared" si="198"/>
        <v>-3624600869.2899995</v>
      </c>
    </row>
    <row r="714" spans="1:9" ht="15" customHeight="1" x14ac:dyDescent="0.2">
      <c r="A714" s="2">
        <v>45098</v>
      </c>
      <c r="B714" s="2"/>
      <c r="C714" s="1" t="s">
        <v>304</v>
      </c>
      <c r="D714" s="16">
        <v>74462.820000000007</v>
      </c>
      <c r="E714" s="32">
        <v>1109868332.0999999</v>
      </c>
      <c r="F714" s="163"/>
      <c r="G714" s="32"/>
      <c r="H714" s="3">
        <f t="shared" si="198"/>
        <v>-163993.3899999999</v>
      </c>
      <c r="I714" s="4">
        <f t="shared" si="198"/>
        <v>-2514732537.1899996</v>
      </c>
    </row>
    <row r="715" spans="1:9" ht="15" customHeight="1" x14ac:dyDescent="0.2">
      <c r="A715" s="2">
        <v>45098</v>
      </c>
      <c r="B715" s="2"/>
      <c r="C715" s="1" t="s">
        <v>305</v>
      </c>
      <c r="D715" s="14">
        <v>74561.39</v>
      </c>
      <c r="E715" s="32">
        <v>1111337517.95</v>
      </c>
      <c r="H715" s="3">
        <f t="shared" si="198"/>
        <v>-89431.999999999898</v>
      </c>
      <c r="I715" s="4">
        <f t="shared" si="198"/>
        <v>-1403395019.2399995</v>
      </c>
    </row>
    <row r="716" spans="1:9" ht="15" customHeight="1" x14ac:dyDescent="0.2">
      <c r="A716" s="2">
        <v>45107</v>
      </c>
      <c r="C716" s="1" t="s">
        <v>18</v>
      </c>
      <c r="E716" s="32">
        <f>8207620.88+7325706.36</f>
        <v>15533327.24</v>
      </c>
      <c r="H716" s="6">
        <f t="shared" ref="H716" si="199">+H715+D716-F716</f>
        <v>-89431.999999999898</v>
      </c>
      <c r="I716" s="7">
        <f t="shared" ref="I716" si="200">+I715+E716-G716</f>
        <v>-1387861691.9999995</v>
      </c>
    </row>
    <row r="717" spans="1:9" ht="15" customHeight="1" x14ac:dyDescent="0.2">
      <c r="A717" s="2">
        <v>45112</v>
      </c>
      <c r="B717" s="2"/>
      <c r="C717" s="1" t="s">
        <v>316</v>
      </c>
      <c r="F717" s="66">
        <v>58790.11</v>
      </c>
      <c r="G717" s="32">
        <v>882909871.98000002</v>
      </c>
      <c r="H717" s="3">
        <f t="shared" ref="H717" si="201">+H716+D717-F717</f>
        <v>-148222.1099999999</v>
      </c>
      <c r="I717" s="4">
        <f t="shared" ref="I717" si="202">+I716+E717-G717</f>
        <v>-2270771563.9799995</v>
      </c>
    </row>
    <row r="718" spans="1:9" ht="15" customHeight="1" x14ac:dyDescent="0.2">
      <c r="A718" s="2">
        <v>45112</v>
      </c>
      <c r="B718" s="2"/>
      <c r="C718" s="1" t="s">
        <v>17</v>
      </c>
      <c r="F718" s="66">
        <v>42</v>
      </c>
      <c r="G718" s="32">
        <v>630758</v>
      </c>
      <c r="H718" s="3">
        <f t="shared" ref="H718:H727" si="203">+H717+D718-F718</f>
        <v>-148264.1099999999</v>
      </c>
      <c r="I718" s="4">
        <f t="shared" ref="I718:I727" si="204">+I717+E718-G718</f>
        <v>-2271402321.9799995</v>
      </c>
    </row>
    <row r="719" spans="1:9" ht="15" customHeight="1" x14ac:dyDescent="0.2">
      <c r="A719" s="2">
        <v>45112</v>
      </c>
      <c r="B719" s="2"/>
      <c r="C719" s="1" t="s">
        <v>330</v>
      </c>
      <c r="D719" s="66">
        <v>74004.11</v>
      </c>
      <c r="E719" s="32">
        <v>1111023703.4300001</v>
      </c>
      <c r="F719" s="17"/>
      <c r="G719" s="32"/>
      <c r="H719" s="3">
        <f t="shared" si="203"/>
        <v>-74259.999999999898</v>
      </c>
      <c r="I719" s="4">
        <f t="shared" si="204"/>
        <v>-1160378618.5499995</v>
      </c>
    </row>
    <row r="720" spans="1:9" ht="15" customHeight="1" x14ac:dyDescent="0.2">
      <c r="A720" s="2">
        <v>45119</v>
      </c>
      <c r="B720" s="2"/>
      <c r="C720" s="1" t="s">
        <v>331</v>
      </c>
      <c r="D720" s="66">
        <v>72933.350000000006</v>
      </c>
      <c r="E720" s="32">
        <v>1097865717.55</v>
      </c>
      <c r="F720" s="17"/>
      <c r="G720" s="32"/>
      <c r="H720" s="3">
        <f t="shared" si="203"/>
        <v>-1326.6499999998923</v>
      </c>
      <c r="I720" s="4">
        <f t="shared" si="204"/>
        <v>-62512900.999999523</v>
      </c>
    </row>
    <row r="721" spans="1:9" ht="15" customHeight="1" x14ac:dyDescent="0.2">
      <c r="A721" s="2">
        <v>45121</v>
      </c>
      <c r="B721" s="2"/>
      <c r="C721" s="1" t="s">
        <v>317</v>
      </c>
      <c r="D721" s="24"/>
      <c r="E721" s="72"/>
      <c r="F721" s="189">
        <v>57719.35</v>
      </c>
      <c r="G721" s="72">
        <v>864520424.29999995</v>
      </c>
      <c r="H721" s="3">
        <f t="shared" si="203"/>
        <v>-59045.999999999891</v>
      </c>
      <c r="I721" s="4">
        <f t="shared" si="204"/>
        <v>-927033325.29999948</v>
      </c>
    </row>
    <row r="722" spans="1:9" ht="15" customHeight="1" x14ac:dyDescent="0.2">
      <c r="A722" s="2">
        <v>45121</v>
      </c>
      <c r="B722" s="2"/>
      <c r="C722" s="1" t="s">
        <v>17</v>
      </c>
      <c r="F722" s="66">
        <v>42</v>
      </c>
      <c r="G722" s="32">
        <v>629076</v>
      </c>
      <c r="H722" s="3">
        <f t="shared" si="203"/>
        <v>-59087.999999999891</v>
      </c>
      <c r="I722" s="4">
        <f t="shared" si="204"/>
        <v>-927662401.29999948</v>
      </c>
    </row>
    <row r="723" spans="1:9" ht="15" customHeight="1" x14ac:dyDescent="0.2">
      <c r="A723" s="2">
        <v>45125</v>
      </c>
      <c r="B723" s="2"/>
      <c r="C723" s="1" t="s">
        <v>318</v>
      </c>
      <c r="F723" s="66">
        <v>56625.51</v>
      </c>
      <c r="G723" s="32">
        <v>849779028.57000005</v>
      </c>
      <c r="H723" s="3">
        <f t="shared" si="203"/>
        <v>-115713.50999999989</v>
      </c>
      <c r="I723" s="4">
        <f t="shared" si="204"/>
        <v>-1777441429.8699994</v>
      </c>
    </row>
    <row r="724" spans="1:9" ht="15" customHeight="1" x14ac:dyDescent="0.2">
      <c r="A724" s="2">
        <v>45125</v>
      </c>
      <c r="B724" s="2"/>
      <c r="C724" s="1" t="s">
        <v>17</v>
      </c>
      <c r="F724" s="66">
        <v>42</v>
      </c>
      <c r="G724" s="32">
        <v>630294</v>
      </c>
      <c r="H724" s="3">
        <f t="shared" si="203"/>
        <v>-115755.50999999989</v>
      </c>
      <c r="I724" s="4">
        <f t="shared" si="204"/>
        <v>-1778071723.8699994</v>
      </c>
    </row>
    <row r="725" spans="1:9" ht="15" customHeight="1" x14ac:dyDescent="0.2">
      <c r="A725" s="2">
        <v>45125</v>
      </c>
      <c r="B725" s="2"/>
      <c r="C725" s="1" t="s">
        <v>332</v>
      </c>
      <c r="D725" s="66">
        <v>71439.509999999995</v>
      </c>
      <c r="E725" s="32">
        <v>1075378944.03</v>
      </c>
      <c r="F725" s="17"/>
      <c r="G725" s="32"/>
      <c r="H725" s="3">
        <f t="shared" si="203"/>
        <v>-44315.999999999898</v>
      </c>
      <c r="I725" s="4">
        <f t="shared" si="204"/>
        <v>-702692779.83999944</v>
      </c>
    </row>
    <row r="726" spans="1:9" ht="15" customHeight="1" x14ac:dyDescent="0.2">
      <c r="A726" s="2">
        <v>45132</v>
      </c>
      <c r="B726" s="2"/>
      <c r="C726" s="1" t="s">
        <v>328</v>
      </c>
      <c r="F726" s="17">
        <v>68860</v>
      </c>
      <c r="G726" s="32">
        <v>1034828080</v>
      </c>
      <c r="H726" s="3">
        <f t="shared" si="203"/>
        <v>-113175.9999999999</v>
      </c>
      <c r="I726" s="4">
        <f t="shared" si="204"/>
        <v>-1737520859.8399994</v>
      </c>
    </row>
    <row r="727" spans="1:9" ht="15" customHeight="1" x14ac:dyDescent="0.2">
      <c r="A727" s="2">
        <v>45132</v>
      </c>
      <c r="B727" s="2"/>
      <c r="C727" s="1" t="s">
        <v>17</v>
      </c>
      <c r="F727" s="17">
        <v>30</v>
      </c>
      <c r="G727" s="32">
        <v>450840</v>
      </c>
      <c r="H727" s="3">
        <f t="shared" si="203"/>
        <v>-113205.9999999999</v>
      </c>
      <c r="I727" s="4">
        <f t="shared" si="204"/>
        <v>-1737971699.8399994</v>
      </c>
    </row>
    <row r="728" spans="1:9" ht="15" customHeight="1" x14ac:dyDescent="0.2">
      <c r="A728" s="2">
        <v>45132</v>
      </c>
      <c r="B728" s="2"/>
      <c r="C728" s="1" t="s">
        <v>470</v>
      </c>
      <c r="D728" s="3">
        <v>68890</v>
      </c>
      <c r="E728" s="32">
        <v>1035278920</v>
      </c>
      <c r="F728" s="17"/>
      <c r="G728" s="32"/>
      <c r="H728" s="3">
        <f t="shared" ref="H728:H729" si="205">+H727+D728-F728</f>
        <v>-44315.999999999898</v>
      </c>
      <c r="I728" s="4">
        <f t="shared" ref="I728:I729" si="206">+I727+E728-G728</f>
        <v>-702692779.83999944</v>
      </c>
    </row>
    <row r="729" spans="1:9" ht="15" customHeight="1" x14ac:dyDescent="0.2">
      <c r="A729" s="2">
        <v>45138</v>
      </c>
      <c r="C729" s="1" t="s">
        <v>18</v>
      </c>
      <c r="E729" s="32">
        <v>16178851.84</v>
      </c>
      <c r="H729" s="6">
        <f t="shared" si="205"/>
        <v>-44315.999999999898</v>
      </c>
      <c r="I729" s="7">
        <f t="shared" si="206"/>
        <v>-686513927.9999994</v>
      </c>
    </row>
    <row r="730" spans="1:9" ht="15" customHeight="1" x14ac:dyDescent="0.2">
      <c r="A730" s="2">
        <v>45161</v>
      </c>
      <c r="B730" s="2"/>
      <c r="C730" s="1" t="s">
        <v>373</v>
      </c>
      <c r="D730" s="71">
        <v>68206.41</v>
      </c>
      <c r="E730" s="32">
        <v>1045058614.02</v>
      </c>
      <c r="H730" s="3">
        <f t="shared" ref="H730:I735" si="207">+H729+D730-F730</f>
        <v>23890.410000000105</v>
      </c>
      <c r="I730" s="4">
        <f t="shared" si="207"/>
        <v>358544686.02000058</v>
      </c>
    </row>
    <row r="731" spans="1:9" ht="15" customHeight="1" x14ac:dyDescent="0.2">
      <c r="A731" s="2">
        <v>45161</v>
      </c>
      <c r="B731" s="2"/>
      <c r="C731" s="1" t="s">
        <v>353</v>
      </c>
      <c r="F731" s="71">
        <v>53392.41</v>
      </c>
      <c r="G731" s="32">
        <v>818292075.65999997</v>
      </c>
      <c r="H731" s="3">
        <f t="shared" si="207"/>
        <v>-29501.999999999898</v>
      </c>
      <c r="I731" s="4">
        <f t="shared" si="207"/>
        <v>-459747389.63999939</v>
      </c>
    </row>
    <row r="732" spans="1:9" ht="15" customHeight="1" x14ac:dyDescent="0.2">
      <c r="A732" s="2">
        <v>45161</v>
      </c>
      <c r="B732" s="2"/>
      <c r="C732" s="1" t="s">
        <v>17</v>
      </c>
      <c r="F732" s="71">
        <v>42</v>
      </c>
      <c r="G732" s="32">
        <v>643692</v>
      </c>
      <c r="H732" s="3">
        <f t="shared" si="207"/>
        <v>-29543.999999999898</v>
      </c>
      <c r="I732" s="4">
        <f t="shared" si="207"/>
        <v>-460391081.63999939</v>
      </c>
    </row>
    <row r="733" spans="1:9" ht="15" customHeight="1" x14ac:dyDescent="0.2">
      <c r="A733" s="2">
        <v>45161</v>
      </c>
      <c r="B733" s="2"/>
      <c r="C733" s="1" t="s">
        <v>375</v>
      </c>
      <c r="D733" s="168">
        <v>70341.55</v>
      </c>
      <c r="E733" s="32">
        <v>1077773229.0999999</v>
      </c>
      <c r="H733" s="3">
        <f t="shared" si="207"/>
        <v>40797.550000000105</v>
      </c>
      <c r="I733" s="4">
        <f t="shared" si="207"/>
        <v>617382147.46000051</v>
      </c>
    </row>
    <row r="734" spans="1:9" ht="15" customHeight="1" x14ac:dyDescent="0.2">
      <c r="A734" s="2">
        <v>45161</v>
      </c>
      <c r="B734" s="2"/>
      <c r="C734" s="1" t="s">
        <v>352</v>
      </c>
      <c r="F734" s="210">
        <v>53556.39</v>
      </c>
      <c r="G734" s="32">
        <v>820805233.13999999</v>
      </c>
      <c r="H734" s="3">
        <f t="shared" si="207"/>
        <v>-12758.839999999895</v>
      </c>
      <c r="I734" s="4">
        <f t="shared" si="207"/>
        <v>-203423085.67999947</v>
      </c>
    </row>
    <row r="735" spans="1:9" ht="15" customHeight="1" x14ac:dyDescent="0.2">
      <c r="A735" s="2">
        <v>45161</v>
      </c>
      <c r="B735" s="2"/>
      <c r="C735" s="1" t="s">
        <v>17</v>
      </c>
      <c r="F735" s="210">
        <v>42</v>
      </c>
      <c r="G735" s="32">
        <v>643692</v>
      </c>
      <c r="H735" s="3">
        <f t="shared" si="207"/>
        <v>-12800.839999999895</v>
      </c>
      <c r="I735" s="4">
        <f t="shared" si="207"/>
        <v>-204066777.67999947</v>
      </c>
    </row>
    <row r="736" spans="1:9" ht="15" customHeight="1" x14ac:dyDescent="0.2">
      <c r="A736" s="2">
        <v>45169</v>
      </c>
      <c r="C736" s="1" t="s">
        <v>18</v>
      </c>
      <c r="E736" s="32">
        <v>4024913.64</v>
      </c>
      <c r="H736" s="6">
        <f t="shared" ref="H736" si="208">+H735+D736-F736</f>
        <v>-12800.839999999895</v>
      </c>
      <c r="I736" s="7">
        <f t="shared" ref="I736" si="209">+I735+E736-G736</f>
        <v>-200041864.03999949</v>
      </c>
    </row>
    <row r="737" spans="1:11" ht="15" customHeight="1" x14ac:dyDescent="0.2">
      <c r="A737" s="2">
        <v>45175</v>
      </c>
      <c r="B737" s="2"/>
      <c r="C737" s="1" t="s">
        <v>383</v>
      </c>
      <c r="D737" s="210">
        <v>68370.39</v>
      </c>
      <c r="E737" s="32">
        <v>1043127040.23</v>
      </c>
      <c r="H737" s="3">
        <f t="shared" ref="H737:I739" si="210">+H736+D737-F737</f>
        <v>55569.550000000105</v>
      </c>
      <c r="I737" s="4">
        <f t="shared" si="210"/>
        <v>843085176.19000053</v>
      </c>
    </row>
    <row r="738" spans="1:11" ht="15" customHeight="1" x14ac:dyDescent="0.2">
      <c r="A738" s="2">
        <v>45176</v>
      </c>
      <c r="B738" s="2"/>
      <c r="C738" s="1" t="s">
        <v>374</v>
      </c>
      <c r="F738" s="3">
        <v>55527.55</v>
      </c>
      <c r="G738" s="32">
        <v>849960207.85000002</v>
      </c>
      <c r="H738" s="3">
        <f t="shared" si="210"/>
        <v>42.000000000101863</v>
      </c>
      <c r="I738" s="4">
        <f t="shared" si="210"/>
        <v>-6875031.6599994898</v>
      </c>
    </row>
    <row r="739" spans="1:11" ht="15" customHeight="1" x14ac:dyDescent="0.2">
      <c r="A739" s="2">
        <v>45176</v>
      </c>
      <c r="B739" s="2"/>
      <c r="C739" s="1" t="s">
        <v>17</v>
      </c>
      <c r="F739" s="3">
        <v>42</v>
      </c>
      <c r="G739" s="32">
        <v>642894</v>
      </c>
      <c r="H739" s="3">
        <f t="shared" si="210"/>
        <v>1.0186340659856796E-10</v>
      </c>
      <c r="I739" s="4">
        <f t="shared" si="210"/>
        <v>-7517925.6599994898</v>
      </c>
    </row>
    <row r="740" spans="1:11" ht="15" customHeight="1" x14ac:dyDescent="0.2">
      <c r="A740" s="2">
        <v>45199</v>
      </c>
      <c r="B740" s="2"/>
      <c r="C740" s="1" t="s">
        <v>18</v>
      </c>
      <c r="E740" s="32">
        <f>8351468.91-833543.25</f>
        <v>7517925.6600000001</v>
      </c>
      <c r="H740" s="3">
        <f t="shared" ref="H740" si="211">+H739+D740-F740</f>
        <v>1.0186340659856796E-10</v>
      </c>
      <c r="I740" s="4">
        <f t="shared" ref="I740" si="212">+I739+E740-G740</f>
        <v>5.1036477088928223E-7</v>
      </c>
      <c r="J740" s="4">
        <v>0</v>
      </c>
      <c r="K740" s="4">
        <v>0</v>
      </c>
    </row>
    <row r="741" spans="1:11" ht="15" customHeight="1" x14ac:dyDescent="0.2">
      <c r="B741" s="2"/>
    </row>
    <row r="742" spans="1:11" ht="15" customHeight="1" x14ac:dyDescent="0.2">
      <c r="B742" s="2"/>
    </row>
    <row r="743" spans="1:11" ht="15" customHeight="1" x14ac:dyDescent="0.2">
      <c r="A743" s="5" t="s">
        <v>0</v>
      </c>
    </row>
    <row r="744" spans="1:11" ht="15" customHeight="1" x14ac:dyDescent="0.2">
      <c r="A744" s="5" t="s">
        <v>11</v>
      </c>
    </row>
    <row r="745" spans="1:11" ht="15" customHeight="1" x14ac:dyDescent="0.2">
      <c r="A745" s="5" t="s">
        <v>266</v>
      </c>
    </row>
    <row r="746" spans="1:11" ht="15" customHeight="1" x14ac:dyDescent="0.2">
      <c r="A746" s="5" t="s">
        <v>159</v>
      </c>
    </row>
    <row r="748" spans="1:11" ht="15" customHeight="1" x14ac:dyDescent="0.2">
      <c r="A748" s="9" t="s">
        <v>3</v>
      </c>
      <c r="B748" s="8" t="s">
        <v>4</v>
      </c>
      <c r="C748" s="8" t="s">
        <v>5</v>
      </c>
      <c r="D748" s="229" t="s">
        <v>6</v>
      </c>
      <c r="E748" s="229"/>
      <c r="F748" s="229" t="s">
        <v>7</v>
      </c>
      <c r="G748" s="229"/>
      <c r="H748" s="229" t="s">
        <v>8</v>
      </c>
      <c r="I748" s="229"/>
    </row>
    <row r="749" spans="1:11" ht="15" customHeight="1" x14ac:dyDescent="0.2">
      <c r="A749" s="10"/>
      <c r="B749" s="11"/>
      <c r="C749" s="11" t="s">
        <v>9</v>
      </c>
      <c r="D749" s="12"/>
      <c r="E749" s="183"/>
      <c r="F749" s="103"/>
      <c r="G749" s="179"/>
      <c r="H749" s="12">
        <v>0</v>
      </c>
      <c r="I749" s="13">
        <v>0</v>
      </c>
    </row>
    <row r="750" spans="1:11" ht="15" customHeight="1" x14ac:dyDescent="0.2">
      <c r="A750" s="2">
        <v>45048</v>
      </c>
      <c r="C750" s="1" t="s">
        <v>292</v>
      </c>
      <c r="F750" s="158">
        <v>44613</v>
      </c>
      <c r="G750" s="32">
        <v>654071193</v>
      </c>
      <c r="H750" s="51">
        <f t="shared" ref="H750:I751" si="213">+H749+D750-F750</f>
        <v>-44613</v>
      </c>
      <c r="I750" s="50">
        <f t="shared" si="213"/>
        <v>-654071193</v>
      </c>
    </row>
    <row r="751" spans="1:11" ht="15" customHeight="1" x14ac:dyDescent="0.2">
      <c r="A751" s="2">
        <v>45048</v>
      </c>
      <c r="C751" s="1" t="s">
        <v>17</v>
      </c>
      <c r="F751" s="158">
        <v>57</v>
      </c>
      <c r="G751" s="32">
        <v>835677</v>
      </c>
      <c r="H751" s="52">
        <f t="shared" si="213"/>
        <v>-44670</v>
      </c>
      <c r="I751" s="53">
        <f t="shared" si="213"/>
        <v>-654906870</v>
      </c>
    </row>
    <row r="752" spans="1:11" ht="15" customHeight="1" x14ac:dyDescent="0.2">
      <c r="A752" s="2">
        <v>45105</v>
      </c>
      <c r="B752" s="2"/>
      <c r="C752" s="1" t="s">
        <v>302</v>
      </c>
      <c r="F752" s="14">
        <v>91250.34</v>
      </c>
      <c r="G752" s="32">
        <v>1371127608.8399999</v>
      </c>
      <c r="H752" s="51">
        <f t="shared" ref="H752:I754" si="214">+H751+D752-F752</f>
        <v>-135920.34</v>
      </c>
      <c r="I752" s="50">
        <f t="shared" si="214"/>
        <v>-2026034478.8399999</v>
      </c>
    </row>
    <row r="753" spans="1:11" ht="15" customHeight="1" x14ac:dyDescent="0.2">
      <c r="A753" s="2">
        <v>45105</v>
      </c>
      <c r="B753" s="2"/>
      <c r="C753" s="1" t="s">
        <v>17</v>
      </c>
      <c r="F753" s="14">
        <v>62</v>
      </c>
      <c r="G753" s="32">
        <v>931612</v>
      </c>
      <c r="H753" s="52">
        <f t="shared" si="214"/>
        <v>-135982.34</v>
      </c>
      <c r="I753" s="53">
        <f t="shared" si="214"/>
        <v>-2026966090.8399999</v>
      </c>
    </row>
    <row r="754" spans="1:11" ht="15" customHeight="1" x14ac:dyDescent="0.2">
      <c r="A754" s="2">
        <v>45127</v>
      </c>
      <c r="B754" s="2"/>
      <c r="C754" s="1" t="s">
        <v>315</v>
      </c>
      <c r="D754" s="14">
        <v>135982.34</v>
      </c>
      <c r="E754" s="32">
        <v>2049661810.8199999</v>
      </c>
      <c r="H754" s="3">
        <f t="shared" si="214"/>
        <v>0</v>
      </c>
      <c r="I754" s="4">
        <f t="shared" si="214"/>
        <v>22695719.980000019</v>
      </c>
    </row>
    <row r="755" spans="1:11" ht="15" customHeight="1" x14ac:dyDescent="0.2">
      <c r="A755" s="2">
        <v>45138</v>
      </c>
      <c r="C755" s="1" t="s">
        <v>18</v>
      </c>
      <c r="G755" s="151">
        <v>22695719.98</v>
      </c>
      <c r="H755" s="6">
        <f t="shared" ref="H755" si="215">+H754+D755-F755</f>
        <v>0</v>
      </c>
      <c r="I755" s="7">
        <f t="shared" ref="I755" si="216">+I754+E755-G755</f>
        <v>0</v>
      </c>
      <c r="J755" s="4">
        <v>0</v>
      </c>
      <c r="K755" s="4">
        <v>0</v>
      </c>
    </row>
    <row r="759" spans="1:11" ht="15" customHeight="1" x14ac:dyDescent="0.2">
      <c r="A759" s="5" t="s">
        <v>0</v>
      </c>
    </row>
    <row r="760" spans="1:11" ht="15" customHeight="1" x14ac:dyDescent="0.2">
      <c r="A760" s="5" t="s">
        <v>11</v>
      </c>
    </row>
    <row r="761" spans="1:11" ht="15" customHeight="1" x14ac:dyDescent="0.2">
      <c r="A761" s="5" t="s">
        <v>314</v>
      </c>
    </row>
    <row r="762" spans="1:11" ht="15" customHeight="1" x14ac:dyDescent="0.2">
      <c r="A762" s="5" t="s">
        <v>159</v>
      </c>
    </row>
    <row r="764" spans="1:11" ht="15" customHeight="1" x14ac:dyDescent="0.2">
      <c r="A764" s="9" t="s">
        <v>3</v>
      </c>
      <c r="B764" s="8" t="s">
        <v>4</v>
      </c>
      <c r="C764" s="8" t="s">
        <v>5</v>
      </c>
      <c r="D764" s="229" t="s">
        <v>6</v>
      </c>
      <c r="E764" s="229"/>
      <c r="F764" s="229" t="s">
        <v>7</v>
      </c>
      <c r="G764" s="229"/>
      <c r="H764" s="229" t="s">
        <v>8</v>
      </c>
      <c r="I764" s="229"/>
    </row>
    <row r="765" spans="1:11" ht="15" customHeight="1" x14ac:dyDescent="0.2">
      <c r="A765" s="10"/>
      <c r="B765" s="11"/>
      <c r="C765" s="11" t="s">
        <v>9</v>
      </c>
      <c r="D765" s="12"/>
      <c r="E765" s="183"/>
      <c r="F765" s="103"/>
      <c r="G765" s="179"/>
      <c r="H765" s="12">
        <v>0</v>
      </c>
      <c r="I765" s="13">
        <v>0</v>
      </c>
    </row>
    <row r="766" spans="1:11" ht="15" customHeight="1" x14ac:dyDescent="0.2">
      <c r="A766" s="2">
        <v>45125</v>
      </c>
      <c r="B766" s="2"/>
      <c r="C766" s="1" t="s">
        <v>333</v>
      </c>
      <c r="D766" s="3">
        <v>68890</v>
      </c>
      <c r="E766" s="32">
        <v>1037001170</v>
      </c>
      <c r="F766" s="163"/>
      <c r="G766" s="32"/>
      <c r="H766" s="51">
        <f t="shared" ref="H766:I768" si="217">+H765+D766-F766</f>
        <v>68890</v>
      </c>
      <c r="I766" s="50">
        <f t="shared" si="217"/>
        <v>1037001170</v>
      </c>
      <c r="J766" s="4">
        <v>0</v>
      </c>
    </row>
    <row r="767" spans="1:11" ht="15" customHeight="1" x14ac:dyDescent="0.2">
      <c r="A767" s="2">
        <v>45132</v>
      </c>
      <c r="B767" s="2"/>
      <c r="C767" s="1" t="s">
        <v>471</v>
      </c>
      <c r="F767" s="3">
        <v>68890</v>
      </c>
      <c r="G767" s="32">
        <v>1035278920</v>
      </c>
      <c r="H767" s="52">
        <f t="shared" si="217"/>
        <v>0</v>
      </c>
      <c r="I767" s="50">
        <f t="shared" si="217"/>
        <v>1722250</v>
      </c>
    </row>
    <row r="768" spans="1:11" ht="15" customHeight="1" x14ac:dyDescent="0.2">
      <c r="A768" s="2" t="s">
        <v>472</v>
      </c>
      <c r="C768" s="1" t="s">
        <v>18</v>
      </c>
      <c r="G768" s="151">
        <v>1722250</v>
      </c>
      <c r="H768" s="51">
        <f t="shared" si="217"/>
        <v>0</v>
      </c>
      <c r="I768" s="50">
        <f t="shared" si="217"/>
        <v>0</v>
      </c>
    </row>
    <row r="769" spans="8:12" ht="15" customHeight="1" x14ac:dyDescent="0.2">
      <c r="H769" s="24"/>
      <c r="I769" s="25"/>
    </row>
    <row r="770" spans="8:12" ht="15" customHeight="1" x14ac:dyDescent="0.2">
      <c r="H770" s="24"/>
      <c r="I770" s="25"/>
    </row>
    <row r="771" spans="8:12" ht="15" customHeight="1" x14ac:dyDescent="0.2">
      <c r="H771" s="24"/>
      <c r="I771" s="25"/>
    </row>
    <row r="772" spans="8:12" ht="15" customHeight="1" x14ac:dyDescent="0.2">
      <c r="H772" s="24"/>
      <c r="I772" s="25"/>
    </row>
    <row r="773" spans="8:12" ht="15" customHeight="1" x14ac:dyDescent="0.2">
      <c r="H773" s="24"/>
      <c r="I773" s="25"/>
    </row>
    <row r="774" spans="8:12" ht="15" customHeight="1" x14ac:dyDescent="0.2">
      <c r="H774" s="24"/>
      <c r="I774" s="25"/>
    </row>
    <row r="775" spans="8:12" ht="15" customHeight="1" x14ac:dyDescent="0.2">
      <c r="J775" s="4">
        <f>SUM(J1:J768)</f>
        <v>-321737.65999999997</v>
      </c>
      <c r="K775" s="4">
        <f>SUM(K1:K768)</f>
        <v>-4568994559.3299999</v>
      </c>
      <c r="L775" s="69"/>
    </row>
  </sheetData>
  <sortState xmlns:xlrd2="http://schemas.microsoft.com/office/spreadsheetml/2017/richdata2" ref="A690:G698">
    <sortCondition ref="A690"/>
  </sortState>
  <mergeCells count="42">
    <mergeCell ref="D748:E748"/>
    <mergeCell ref="F748:G748"/>
    <mergeCell ref="H748:I748"/>
    <mergeCell ref="F483:G483"/>
    <mergeCell ref="H483:I483"/>
    <mergeCell ref="D524:E524"/>
    <mergeCell ref="F524:G524"/>
    <mergeCell ref="H524:I524"/>
    <mergeCell ref="F538:G538"/>
    <mergeCell ref="H538:I538"/>
    <mergeCell ref="D483:E483"/>
    <mergeCell ref="D6:E6"/>
    <mergeCell ref="F6:G6"/>
    <mergeCell ref="H6:I6"/>
    <mergeCell ref="D18:E18"/>
    <mergeCell ref="F18:G18"/>
    <mergeCell ref="H18:I18"/>
    <mergeCell ref="D272:E272"/>
    <mergeCell ref="F272:G272"/>
    <mergeCell ref="H272:I272"/>
    <mergeCell ref="D393:E393"/>
    <mergeCell ref="F393:G393"/>
    <mergeCell ref="D374:E374"/>
    <mergeCell ref="F374:G374"/>
    <mergeCell ref="H374:I374"/>
    <mergeCell ref="H393:I393"/>
    <mergeCell ref="D764:E764"/>
    <mergeCell ref="F764:G764"/>
    <mergeCell ref="H764:I764"/>
    <mergeCell ref="D466:E466"/>
    <mergeCell ref="D664:E664"/>
    <mergeCell ref="F664:G664"/>
    <mergeCell ref="H664:I664"/>
    <mergeCell ref="D611:E611"/>
    <mergeCell ref="F611:G611"/>
    <mergeCell ref="H611:I611"/>
    <mergeCell ref="D638:E638"/>
    <mergeCell ref="F638:G638"/>
    <mergeCell ref="H638:I638"/>
    <mergeCell ref="F466:G466"/>
    <mergeCell ref="H466:I466"/>
    <mergeCell ref="D538:E53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AR-EXP</vt:lpstr>
      <vt:lpstr>UM</vt:lpstr>
      <vt:lpstr>RINCIAN</vt:lpstr>
      <vt:lpstr>'AR-EXP'!Print_Area</vt:lpstr>
      <vt:lpstr>UM!Print_Area</vt:lpstr>
      <vt:lpstr>'AR-EXP'!Print_Titles</vt:lpstr>
      <vt:lpstr>UM!Print_Titles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</dc:creator>
  <cp:lastModifiedBy>ALI</cp:lastModifiedBy>
  <cp:lastPrinted>2023-05-20T06:07:26Z</cp:lastPrinted>
  <dcterms:created xsi:type="dcterms:W3CDTF">2022-03-26T02:38:23Z</dcterms:created>
  <dcterms:modified xsi:type="dcterms:W3CDTF">2024-02-03T07:57:45Z</dcterms:modified>
</cp:coreProperties>
</file>