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Z:\2023-IAI\"/>
    </mc:Choice>
  </mc:AlternateContent>
  <xr:revisionPtr revIDLastSave="0" documentId="13_ncr:1_{E8056830-3590-4385-B41F-DBEF5C84FDDB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AR-EXP" sheetId="1" r:id="rId1"/>
    <sheet name="UM" sheetId="2" r:id="rId2"/>
    <sheet name="RINCIAN" sheetId="3" r:id="rId3"/>
  </sheets>
  <definedNames>
    <definedName name="_xlnm.Print_Area" localSheetId="0">'AR-EXP'!$A$116:$I$126</definedName>
    <definedName name="_xlnm.Print_Area" localSheetId="1">UM!$A$295:$I$306</definedName>
    <definedName name="_xlnm.Print_Titles" localSheetId="0">'AR-EXP'!$1:$5</definedName>
    <definedName name="_xlnm.Print_Titles" localSheetId="1">UM!$1:$5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47" i="3" l="1"/>
  <c r="H647" i="3"/>
  <c r="I241" i="2"/>
  <c r="H241" i="2"/>
  <c r="I240" i="2"/>
  <c r="H240" i="2"/>
  <c r="E419" i="3" l="1"/>
  <c r="I243" i="3" l="1"/>
  <c r="H243" i="3"/>
  <c r="I514" i="3"/>
  <c r="H514" i="3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F431" i="3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415" i="3"/>
  <c r="I416" i="3" s="1"/>
  <c r="H415" i="3"/>
  <c r="H416" i="3" s="1"/>
  <c r="I8" i="3"/>
  <c r="H8" i="3"/>
  <c r="G402" i="3"/>
  <c r="F402" i="3"/>
  <c r="G462" i="1" l="1"/>
  <c r="G338" i="3"/>
  <c r="G242" i="3"/>
  <c r="G222" i="3" l="1"/>
  <c r="F222" i="3"/>
  <c r="G406" i="3"/>
  <c r="F406" i="3"/>
  <c r="F412" i="3" s="1"/>
  <c r="F413" i="1"/>
  <c r="G437" i="1" l="1"/>
  <c r="G336" i="3"/>
  <c r="G235" i="3"/>
  <c r="G150" i="3"/>
  <c r="F150" i="3"/>
  <c r="I473" i="3"/>
  <c r="H473" i="3"/>
  <c r="G204" i="3"/>
  <c r="F204" i="3"/>
  <c r="F329" i="3"/>
  <c r="F287" i="3"/>
  <c r="G287" i="3"/>
  <c r="G293" i="3"/>
  <c r="F293" i="3"/>
  <c r="G189" i="3"/>
  <c r="F189" i="3"/>
  <c r="G182" i="3"/>
  <c r="F182" i="3"/>
  <c r="G380" i="1"/>
  <c r="E215" i="3"/>
  <c r="G322" i="3"/>
  <c r="G308" i="3"/>
  <c r="F308" i="3"/>
  <c r="G435" i="3"/>
  <c r="F435" i="3"/>
  <c r="G337" i="1"/>
  <c r="F337" i="1"/>
  <c r="G261" i="1"/>
  <c r="G315" i="1"/>
  <c r="F129" i="3"/>
  <c r="G129" i="3"/>
  <c r="G663" i="3"/>
  <c r="F663" i="3"/>
  <c r="H663" i="3" s="1"/>
  <c r="H664" i="3" s="1"/>
  <c r="H665" i="3" s="1"/>
  <c r="H666" i="3" s="1"/>
  <c r="G289" i="1"/>
  <c r="F289" i="1"/>
  <c r="G551" i="3"/>
  <c r="F551" i="3"/>
  <c r="G158" i="3"/>
  <c r="J765" i="3"/>
  <c r="I762" i="3"/>
  <c r="H762" i="3"/>
  <c r="G103" i="3"/>
  <c r="F103" i="3"/>
  <c r="G678" i="3"/>
  <c r="F678" i="3"/>
  <c r="H678" i="3" s="1"/>
  <c r="H679" i="3" s="1"/>
  <c r="H680" i="3" s="1"/>
  <c r="H681" i="3" s="1"/>
  <c r="H682" i="3" s="1"/>
  <c r="E166" i="1"/>
  <c r="K765" i="3"/>
  <c r="H264" i="1" l="1"/>
  <c r="H466" i="1"/>
  <c r="I264" i="1"/>
  <c r="I466" i="1"/>
  <c r="I440" i="1"/>
  <c r="H440" i="1"/>
  <c r="I384" i="1"/>
  <c r="H384" i="1"/>
  <c r="I357" i="1"/>
  <c r="H357" i="1"/>
  <c r="I318" i="1"/>
  <c r="H318" i="1"/>
  <c r="H667" i="3"/>
  <c r="H683" i="3"/>
  <c r="E124" i="3"/>
  <c r="E713" i="3"/>
  <c r="G74" i="3"/>
  <c r="F74" i="3"/>
  <c r="G301" i="3"/>
  <c r="F301" i="3"/>
  <c r="G64" i="3"/>
  <c r="F64" i="3"/>
  <c r="G675" i="3"/>
  <c r="F675" i="3"/>
  <c r="F672" i="3"/>
  <c r="F495" i="3"/>
  <c r="G495" i="3"/>
  <c r="E110" i="3"/>
  <c r="H538" i="3"/>
  <c r="H539" i="3" s="1"/>
  <c r="H540" i="3" s="1"/>
  <c r="H541" i="3" s="1"/>
  <c r="H542" i="3" s="1"/>
  <c r="H543" i="3" s="1"/>
  <c r="H544" i="3" s="1"/>
  <c r="H545" i="3" s="1"/>
  <c r="I746" i="3"/>
  <c r="I747" i="3" s="1"/>
  <c r="I748" i="3" s="1"/>
  <c r="I749" i="3" s="1"/>
  <c r="I750" i="3" s="1"/>
  <c r="I751" i="3" s="1"/>
  <c r="H746" i="3"/>
  <c r="H747" i="3" s="1"/>
  <c r="H748" i="3" s="1"/>
  <c r="H749" i="3" s="1"/>
  <c r="H750" i="3" s="1"/>
  <c r="H751" i="3" s="1"/>
  <c r="H546" i="3" l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G89" i="3"/>
  <c r="G57" i="3"/>
  <c r="F57" i="3"/>
  <c r="I616" i="3"/>
  <c r="I617" i="3" s="1"/>
  <c r="I618" i="3" s="1"/>
  <c r="I619" i="3" s="1"/>
  <c r="I620" i="3" s="1"/>
  <c r="I621" i="3" s="1"/>
  <c r="I622" i="3" s="1"/>
  <c r="I623" i="3" s="1"/>
  <c r="I624" i="3" s="1"/>
  <c r="I625" i="3" s="1"/>
  <c r="H616" i="3"/>
  <c r="H617" i="3" s="1"/>
  <c r="H618" i="3" s="1"/>
  <c r="H619" i="3" s="1"/>
  <c r="H620" i="3" s="1"/>
  <c r="H621" i="3" s="1"/>
  <c r="H622" i="3" s="1"/>
  <c r="H623" i="3" s="1"/>
  <c r="H624" i="3" s="1"/>
  <c r="H625" i="3" s="1"/>
  <c r="F486" i="3" l="1"/>
  <c r="G486" i="3"/>
  <c r="D412" i="3"/>
  <c r="F36" i="3"/>
  <c r="G36" i="3"/>
  <c r="I525" i="3"/>
  <c r="I526" i="3" s="1"/>
  <c r="I527" i="3" s="1"/>
  <c r="H525" i="3"/>
  <c r="H526" i="3" s="1"/>
  <c r="H527" i="3" s="1"/>
  <c r="G676" i="3" l="1"/>
  <c r="I375" i="3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H375" i="3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225" i="2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I538" i="3"/>
  <c r="I539" i="3" s="1"/>
  <c r="I540" i="3" s="1"/>
  <c r="I541" i="3" s="1"/>
  <c r="I542" i="3" s="1"/>
  <c r="I543" i="3" s="1"/>
  <c r="I544" i="3" s="1"/>
  <c r="I545" i="3" s="1"/>
  <c r="G26" i="3"/>
  <c r="F26" i="3"/>
  <c r="D246" i="2"/>
  <c r="I492" i="3"/>
  <c r="I493" i="3" s="1"/>
  <c r="I494" i="3" s="1"/>
  <c r="H492" i="3"/>
  <c r="H493" i="3" s="1"/>
  <c r="H494" i="3" s="1"/>
  <c r="H495" i="3" s="1"/>
  <c r="H496" i="3" s="1"/>
  <c r="H497" i="3" s="1"/>
  <c r="H498" i="3" s="1"/>
  <c r="I546" i="3" l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495" i="3"/>
  <c r="I496" i="3" s="1"/>
  <c r="I497" i="3" s="1"/>
  <c r="I225" i="2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678" i="3"/>
  <c r="I679" i="3" s="1"/>
  <c r="I680" i="3" s="1"/>
  <c r="I681" i="3" s="1"/>
  <c r="I682" i="3" s="1"/>
  <c r="H684" i="3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I239" i="2" l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683" i="3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H499" i="3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I498" i="3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417" i="3"/>
  <c r="H417" i="3"/>
  <c r="H418" i="3" s="1"/>
  <c r="H419" i="3" s="1"/>
  <c r="H420" i="3" s="1"/>
  <c r="I274" i="3"/>
  <c r="H274" i="3"/>
  <c r="H421" i="3" l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309" i="2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I418" i="3"/>
  <c r="I419" i="3" s="1"/>
  <c r="I420" i="3" s="1"/>
  <c r="H433" i="3" l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I421" i="3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34" i="3"/>
  <c r="I35" i="3" s="1"/>
  <c r="I36" i="3" s="1"/>
  <c r="I37" i="3" s="1"/>
  <c r="I38" i="3" s="1"/>
  <c r="I39" i="3" s="1"/>
  <c r="H34" i="3"/>
  <c r="H35" i="3" s="1"/>
  <c r="H36" i="3" s="1"/>
  <c r="H37" i="3" s="1"/>
  <c r="H38" i="3" s="1"/>
  <c r="H39" i="3" s="1"/>
  <c r="I309" i="2" l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30" i="2" s="1"/>
  <c r="I433" i="3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0" i="3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H40" i="3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I663" i="3"/>
  <c r="F611" i="3"/>
  <c r="G23" i="3"/>
  <c r="G20" i="3"/>
  <c r="G696" i="3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F23" i="3"/>
  <c r="G22" i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51" i="1" s="1"/>
  <c r="F22" i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F20" i="3"/>
  <c r="E190" i="2"/>
  <c r="H45" i="1" l="1"/>
  <c r="H51" i="1" s="1"/>
  <c r="I664" i="3"/>
  <c r="I665" i="3" s="1"/>
  <c r="I666" i="3" s="1"/>
  <c r="I667" i="3" s="1"/>
  <c r="I668" i="3" s="1"/>
  <c r="I669" i="3" s="1"/>
  <c r="I670" i="3" s="1"/>
  <c r="I671" i="3" s="1"/>
  <c r="I672" i="3" s="1"/>
  <c r="I331" i="2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9" i="2" s="1"/>
  <c r="I350" i="2" s="1"/>
  <c r="I351" i="2" s="1"/>
  <c r="I352" i="2" s="1"/>
  <c r="I353" i="2" s="1"/>
  <c r="I354" i="2" s="1"/>
  <c r="I355" i="2" s="1"/>
  <c r="I356" i="2" s="1"/>
  <c r="I357" i="2" s="1"/>
  <c r="H330" i="2"/>
  <c r="H51" i="3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I51" i="3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H611" i="3"/>
  <c r="H612" i="3" s="1"/>
  <c r="F674" i="3"/>
  <c r="F670" i="3"/>
  <c r="F668" i="3"/>
  <c r="H668" i="3" s="1"/>
  <c r="H669" i="3" s="1"/>
  <c r="D190" i="2"/>
  <c r="G469" i="3"/>
  <c r="F469" i="3"/>
  <c r="G467" i="3"/>
  <c r="F467" i="3"/>
  <c r="F484" i="3"/>
  <c r="H484" i="3" s="1"/>
  <c r="H485" i="3" s="1"/>
  <c r="H486" i="3" s="1"/>
  <c r="H487" i="3" s="1"/>
  <c r="G484" i="3"/>
  <c r="I484" i="3" s="1"/>
  <c r="I485" i="3" s="1"/>
  <c r="I486" i="3" s="1"/>
  <c r="I487" i="3" s="1"/>
  <c r="I358" i="2" l="1"/>
  <c r="I359" i="2" s="1"/>
  <c r="I360" i="2" s="1"/>
  <c r="I361" i="2" s="1"/>
  <c r="I362" i="2" s="1"/>
  <c r="I363" i="2" s="1"/>
  <c r="I364" i="2" s="1"/>
  <c r="I365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8" i="2" s="1"/>
  <c r="I409" i="2" s="1"/>
  <c r="I410" i="2" s="1"/>
  <c r="I411" i="2" s="1"/>
  <c r="I412" i="2" s="1"/>
  <c r="I413" i="2" s="1"/>
  <c r="I414" i="2" s="1"/>
  <c r="I415" i="2" s="1"/>
  <c r="I416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2" i="2" s="1"/>
  <c r="I443" i="2" s="1"/>
  <c r="I444" i="2" s="1"/>
  <c r="I445" i="2" s="1"/>
  <c r="I446" i="2" s="1"/>
  <c r="I447" i="2" s="1"/>
  <c r="H331" i="2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9" i="2" s="1"/>
  <c r="H350" i="2" s="1"/>
  <c r="H351" i="2" s="1"/>
  <c r="H352" i="2" s="1"/>
  <c r="H353" i="2" s="1"/>
  <c r="H354" i="2" s="1"/>
  <c r="H355" i="2" s="1"/>
  <c r="H356" i="2" s="1"/>
  <c r="I65" i="3"/>
  <c r="I66" i="3" s="1"/>
  <c r="I67" i="3" s="1"/>
  <c r="I68" i="3" s="1"/>
  <c r="I69" i="3" s="1"/>
  <c r="I673" i="3"/>
  <c r="I674" i="3" s="1"/>
  <c r="I675" i="3" s="1"/>
  <c r="H670" i="3"/>
  <c r="H671" i="3" s="1"/>
  <c r="H64" i="3"/>
  <c r="I394" i="3"/>
  <c r="I395" i="3" s="1"/>
  <c r="I396" i="3" s="1"/>
  <c r="I397" i="3" s="1"/>
  <c r="I398" i="3" s="1"/>
  <c r="I399" i="3" s="1"/>
  <c r="I400" i="3" s="1"/>
  <c r="I401" i="3" s="1"/>
  <c r="I402" i="3" s="1"/>
  <c r="H394" i="3"/>
  <c r="H395" i="3" s="1"/>
  <c r="H396" i="3" s="1"/>
  <c r="H397" i="3" s="1"/>
  <c r="H398" i="3" s="1"/>
  <c r="H399" i="3" s="1"/>
  <c r="H400" i="3" s="1"/>
  <c r="H401" i="3" s="1"/>
  <c r="H402" i="3" s="1"/>
  <c r="I403" i="3" l="1"/>
  <c r="H403" i="3"/>
  <c r="H357" i="2"/>
  <c r="H358" i="2" s="1"/>
  <c r="H359" i="2" s="1"/>
  <c r="H360" i="2" s="1"/>
  <c r="H361" i="2" s="1"/>
  <c r="H362" i="2" s="1"/>
  <c r="H363" i="2" s="1"/>
  <c r="H364" i="2" s="1"/>
  <c r="H365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8" i="2" s="1"/>
  <c r="H409" i="2" s="1"/>
  <c r="H410" i="2" s="1"/>
  <c r="H411" i="2" s="1"/>
  <c r="H412" i="2" s="1"/>
  <c r="H413" i="2" s="1"/>
  <c r="H414" i="2" s="1"/>
  <c r="H415" i="2" s="1"/>
  <c r="H416" i="2" s="1"/>
  <c r="H420" i="2" s="1"/>
  <c r="H421" i="2" s="1"/>
  <c r="H422" i="2" s="1"/>
  <c r="H423" i="2" s="1"/>
  <c r="H424" i="2" s="1"/>
  <c r="H425" i="2" s="1"/>
  <c r="H65" i="3"/>
  <c r="H66" i="3" s="1"/>
  <c r="H67" i="3" s="1"/>
  <c r="H68" i="3" s="1"/>
  <c r="H69" i="3" s="1"/>
  <c r="H70" i="3" s="1"/>
  <c r="H71" i="3" s="1"/>
  <c r="H72" i="3" s="1"/>
  <c r="H73" i="3" s="1"/>
  <c r="H672" i="3"/>
  <c r="H673" i="3" s="1"/>
  <c r="H674" i="3" s="1"/>
  <c r="H675" i="3" s="1"/>
  <c r="I70" i="3"/>
  <c r="I71" i="3" s="1"/>
  <c r="I72" i="3" s="1"/>
  <c r="I73" i="3" s="1"/>
  <c r="I74" i="3" s="1"/>
  <c r="I75" i="3" s="1"/>
  <c r="I76" i="3" s="1"/>
  <c r="E193" i="2"/>
  <c r="D193" i="2"/>
  <c r="E192" i="2"/>
  <c r="H404" i="3" l="1"/>
  <c r="H405" i="3" s="1"/>
  <c r="H406" i="3" s="1"/>
  <c r="H407" i="3" s="1"/>
  <c r="H408" i="3" s="1"/>
  <c r="H409" i="3" s="1"/>
  <c r="H410" i="3" s="1"/>
  <c r="I404" i="3"/>
  <c r="I405" i="3" s="1"/>
  <c r="I406" i="3" s="1"/>
  <c r="I407" i="3" s="1"/>
  <c r="I408" i="3" s="1"/>
  <c r="I409" i="3" s="1"/>
  <c r="I410" i="3" s="1"/>
  <c r="H426" i="2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2" i="2" s="1"/>
  <c r="H443" i="2" s="1"/>
  <c r="H444" i="2" s="1"/>
  <c r="H445" i="2" s="1"/>
  <c r="H446" i="2" s="1"/>
  <c r="H447" i="2" s="1"/>
  <c r="I77" i="3"/>
  <c r="I78" i="3" s="1"/>
  <c r="I79" i="3" s="1"/>
  <c r="I80" i="3" s="1"/>
  <c r="H74" i="3"/>
  <c r="E188" i="2"/>
  <c r="F119" i="2"/>
  <c r="H75" i="3" l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I81" i="3"/>
  <c r="I82" i="3" s="1"/>
  <c r="I83" i="3" s="1"/>
  <c r="I84" i="3" s="1"/>
  <c r="I85" i="3" s="1"/>
  <c r="I86" i="3" s="1"/>
  <c r="I87" i="3" s="1"/>
  <c r="I88" i="3" s="1"/>
  <c r="I89" i="3" s="1"/>
  <c r="I90" i="3" s="1"/>
  <c r="L7" i="2"/>
  <c r="H91" i="3" l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I91" i="3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K7" i="2"/>
  <c r="E140" i="2"/>
  <c r="D140" i="2"/>
  <c r="I106" i="3" l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H106" i="3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D139" i="2"/>
  <c r="H130" i="3" l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I130" i="3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L35" i="2"/>
  <c r="K35" i="2"/>
  <c r="I151" i="3" l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H151" i="3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E110" i="2"/>
  <c r="D108" i="2"/>
  <c r="I183" i="3" l="1"/>
  <c r="I184" i="3" s="1"/>
  <c r="I185" i="3" s="1"/>
  <c r="I186" i="3" s="1"/>
  <c r="I187" i="3" s="1"/>
  <c r="I188" i="3" s="1"/>
  <c r="I189" i="3" s="1"/>
  <c r="H183" i="3"/>
  <c r="H184" i="3" s="1"/>
  <c r="H185" i="3" s="1"/>
  <c r="H186" i="3" s="1"/>
  <c r="H187" i="3" s="1"/>
  <c r="H188" i="3" s="1"/>
  <c r="H189" i="3" s="1"/>
  <c r="D57" i="2"/>
  <c r="E70" i="2"/>
  <c r="D70" i="2"/>
  <c r="I190" i="3" l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H190" i="3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L6" i="2"/>
  <c r="K6" i="2"/>
  <c r="L11" i="2"/>
  <c r="K11" i="2"/>
  <c r="E99" i="2"/>
  <c r="D99" i="2"/>
  <c r="I207" i="3" l="1"/>
  <c r="I208" i="3" s="1"/>
  <c r="I209" i="3" s="1"/>
  <c r="I210" i="3" s="1"/>
  <c r="I211" i="3" s="1"/>
  <c r="I212" i="3" s="1"/>
  <c r="I213" i="3" s="1"/>
  <c r="I214" i="3" s="1"/>
  <c r="I215" i="3" s="1"/>
  <c r="I216" i="3" s="1"/>
  <c r="H207" i="3"/>
  <c r="H208" i="3" s="1"/>
  <c r="H209" i="3" s="1"/>
  <c r="H210" i="3" s="1"/>
  <c r="H211" i="3" s="1"/>
  <c r="H212" i="3" s="1"/>
  <c r="H213" i="3" s="1"/>
  <c r="H214" i="3" s="1"/>
  <c r="H215" i="3" s="1"/>
  <c r="H216" i="3" s="1"/>
  <c r="I611" i="3"/>
  <c r="I612" i="3" s="1"/>
  <c r="E57" i="2"/>
  <c r="L9" i="2"/>
  <c r="K9" i="2"/>
  <c r="E59" i="2"/>
  <c r="D59" i="2"/>
  <c r="E8" i="2"/>
  <c r="E7" i="2"/>
  <c r="I7" i="2" s="1"/>
  <c r="D8" i="2"/>
  <c r="D7" i="2"/>
  <c r="H7" i="2" s="1"/>
  <c r="I217" i="3" l="1"/>
  <c r="I218" i="3" s="1"/>
  <c r="I219" i="3" s="1"/>
  <c r="I220" i="3" s="1"/>
  <c r="H217" i="3"/>
  <c r="H218" i="3" s="1"/>
  <c r="H219" i="3" s="1"/>
  <c r="H220" i="3" s="1"/>
  <c r="I8" i="2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H8" i="2"/>
  <c r="H9" i="2" s="1"/>
  <c r="H221" i="3" l="1"/>
  <c r="I221" i="3"/>
  <c r="I222" i="3" s="1"/>
  <c r="I223" i="3" s="1"/>
  <c r="I224" i="3" s="1"/>
  <c r="I225" i="3" s="1"/>
  <c r="H10" i="2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I226" i="3" l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H222" i="3"/>
  <c r="H223" i="3" s="1"/>
  <c r="H224" i="3" s="1"/>
  <c r="H225" i="3" s="1"/>
  <c r="E34" i="2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K14" i="2"/>
  <c r="J14" i="2"/>
  <c r="O22" i="2"/>
  <c r="H226" i="3" l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I119" i="2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D33" i="2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I138" i="2" l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H119" i="2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L13" i="2"/>
  <c r="K13" i="2"/>
  <c r="I638" i="3"/>
  <c r="I639" i="3" s="1"/>
  <c r="I640" i="3" s="1"/>
  <c r="I641" i="3" s="1"/>
  <c r="I642" i="3" s="1"/>
  <c r="I643" i="3" s="1"/>
  <c r="I644" i="3" s="1"/>
  <c r="I645" i="3" s="1"/>
  <c r="I646" i="3" s="1"/>
  <c r="H638" i="3"/>
  <c r="H639" i="3" s="1"/>
  <c r="H640" i="3" s="1"/>
  <c r="H641" i="3" s="1"/>
  <c r="H642" i="3" s="1"/>
  <c r="H643" i="3" s="1"/>
  <c r="H644" i="3" s="1"/>
  <c r="H645" i="3" s="1"/>
  <c r="H646" i="3" s="1"/>
  <c r="I163" i="2" l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H138" i="2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I275" i="3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l="1"/>
  <c r="I291" i="3" s="1"/>
  <c r="I292" i="3" s="1"/>
  <c r="I293" i="3" s="1"/>
  <c r="H275" i="3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I192" i="2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H161" i="2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I294" i="3" l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H290" i="3"/>
  <c r="H291" i="3" s="1"/>
  <c r="H292" i="3" s="1"/>
  <c r="H293" i="3" s="1"/>
  <c r="I204" i="2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H294" i="3" l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I324" i="3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46" i="1"/>
  <c r="H46" i="1"/>
  <c r="H324" i="3" l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52" i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I47" i="1"/>
  <c r="I48" i="1" s="1"/>
  <c r="I52" i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H47" i="1"/>
  <c r="H48" i="1" s="1"/>
  <c r="H80" i="1" l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74" i="1"/>
  <c r="H75" i="1" s="1"/>
  <c r="I71" i="1"/>
  <c r="I72" i="1" s="1"/>
  <c r="H116" i="1" l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32" i="1" s="1"/>
  <c r="H111" i="1"/>
  <c r="H112" i="1" s="1"/>
  <c r="I80" i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74" i="1"/>
  <c r="I75" i="1" s="1"/>
  <c r="H133" i="1" l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128" i="1"/>
  <c r="H129" i="1" s="1"/>
  <c r="I111" i="1"/>
  <c r="I112" i="1" s="1"/>
  <c r="I116" i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32" i="1" s="1"/>
  <c r="H209" i="1" l="1"/>
  <c r="H211" i="1" s="1"/>
  <c r="H214" i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I133" i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128" i="1"/>
  <c r="I129" i="1" s="1"/>
  <c r="H168" i="1"/>
  <c r="H243" i="1" l="1"/>
  <c r="H244" i="1" s="1"/>
  <c r="H245" i="1" s="1"/>
  <c r="I209" i="1"/>
  <c r="I211" i="1" s="1"/>
  <c r="I214" i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168" i="1"/>
  <c r="I170" i="1" s="1"/>
  <c r="H170" i="1"/>
  <c r="H246" i="1" l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I243" i="1"/>
  <c r="I244" i="1" s="1"/>
  <c r="I245" i="1" s="1"/>
  <c r="H267" i="1" l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263" i="1"/>
  <c r="H265" i="1" s="1"/>
  <c r="I246" i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H315" i="1" l="1"/>
  <c r="I315" i="1"/>
  <c r="I263" i="1"/>
  <c r="I265" i="1" s="1"/>
  <c r="I317" i="1" l="1"/>
  <c r="I319" i="1" s="1"/>
  <c r="I322" i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H317" i="1"/>
  <c r="H319" i="1" s="1"/>
  <c r="H322" i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I344" i="1" l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H344" i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6" i="1" l="1"/>
  <c r="H358" i="1" s="1"/>
  <c r="H362" i="1"/>
  <c r="H363" i="1" s="1"/>
  <c r="H364" i="1" s="1"/>
  <c r="H365" i="1" s="1"/>
  <c r="I356" i="1"/>
  <c r="I358" i="1" s="1"/>
  <c r="I362" i="1"/>
  <c r="I363" i="1" s="1"/>
  <c r="I364" i="1" s="1"/>
  <c r="I365" i="1" s="1"/>
  <c r="I366" i="1" l="1"/>
  <c r="H366" i="1"/>
  <c r="H367" i="1" l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I367" i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l="1"/>
  <c r="I380" i="1" s="1"/>
  <c r="I388" i="1" s="1"/>
  <c r="H379" i="1"/>
  <c r="H380" i="1" s="1"/>
  <c r="H388" i="1" s="1"/>
  <c r="H383" i="1" l="1"/>
  <c r="H385" i="1" s="1"/>
  <c r="H389" i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I383" i="1"/>
  <c r="I385" i="1" s="1"/>
  <c r="I389" i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H414" i="1" l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43" i="1" s="1"/>
  <c r="H444" i="1" s="1"/>
  <c r="H445" i="1" s="1"/>
  <c r="H446" i="1" s="1"/>
  <c r="H447" i="1" s="1"/>
  <c r="H448" i="1" s="1"/>
  <c r="H449" i="1" s="1"/>
  <c r="H450" i="1" s="1"/>
  <c r="I414" i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H451" i="1" l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5" i="1" s="1"/>
  <c r="H439" i="1"/>
  <c r="H441" i="1" s="1"/>
  <c r="I439" i="1"/>
  <c r="I441" i="1" s="1"/>
  <c r="I443" i="1"/>
  <c r="I444" i="1" s="1"/>
  <c r="I445" i="1" s="1"/>
  <c r="I446" i="1" s="1"/>
  <c r="I447" i="1" s="1"/>
  <c r="I448" i="1" s="1"/>
  <c r="I449" i="1" s="1"/>
  <c r="I450" i="1" s="1"/>
  <c r="I451" i="1" l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5" i="1" s="1"/>
  <c r="I467" i="1" s="1"/>
  <c r="H467" i="1"/>
</calcChain>
</file>

<file path=xl/sharedStrings.xml><?xml version="1.0" encoding="utf-8"?>
<sst xmlns="http://schemas.openxmlformats.org/spreadsheetml/2006/main" count="1547" uniqueCount="465">
  <si>
    <t>PT INTIBUMI ALUMINDOTAMA INDUSTRY</t>
  </si>
  <si>
    <t>BUKU BESAR PIUTANG EXPORT</t>
  </si>
  <si>
    <t>TAHUN 2022</t>
  </si>
  <si>
    <t>TANGGAL</t>
  </si>
  <si>
    <t>NO_BUKTI</t>
  </si>
  <si>
    <t>KETERANGAN</t>
  </si>
  <si>
    <t>DEBET</t>
  </si>
  <si>
    <t>KREDIT</t>
  </si>
  <si>
    <t>SALDO</t>
  </si>
  <si>
    <t>SALDO AWAL</t>
  </si>
  <si>
    <t>BUKU BESAR UANG MUKA PELANGGAN</t>
  </si>
  <si>
    <t>BUKU PIUTANG EXPORT</t>
  </si>
  <si>
    <t>CELLOFIX S.L</t>
  </si>
  <si>
    <t>Saldo Awal</t>
  </si>
  <si>
    <t>DAYSTAR PACKAGING INTERNATIONAL LTD / DURABLE INC</t>
  </si>
  <si>
    <t>BUKU BESAR PIUTANG DAGANG EXPORT</t>
  </si>
  <si>
    <t>EFFEGIDI INTERNATIONAL SPA</t>
  </si>
  <si>
    <t>B.BANK</t>
  </si>
  <si>
    <t>ADJ KURS</t>
  </si>
  <si>
    <t>DP</t>
  </si>
  <si>
    <t>PROPACK PACIFIC (RKNM PVT LTD)</t>
  </si>
  <si>
    <t>B.Bank</t>
  </si>
  <si>
    <t>cellofix</t>
  </si>
  <si>
    <t>daystar</t>
  </si>
  <si>
    <t>stella</t>
  </si>
  <si>
    <t>nipra</t>
  </si>
  <si>
    <t>Stella Pack</t>
  </si>
  <si>
    <t>Daystar</t>
  </si>
  <si>
    <t>Propack Pacific</t>
  </si>
  <si>
    <t>Pot.UM Nipra</t>
  </si>
  <si>
    <t>Pot.UM Stella Pack</t>
  </si>
  <si>
    <t>2202/EXP/006/IAI-2</t>
  </si>
  <si>
    <t>STELLA PACK S.A</t>
  </si>
  <si>
    <t>PEB 013945 (2203/EXP/001/IAI-1)</t>
  </si>
  <si>
    <t>2203/EXP/002/IAI-2</t>
  </si>
  <si>
    <t>Cellofix S.L</t>
  </si>
  <si>
    <t>Pot.UM Stella Pack (27/1-22)</t>
  </si>
  <si>
    <t>Hang Yue Tong</t>
  </si>
  <si>
    <t>27/1</t>
  </si>
  <si>
    <t>Stella</t>
  </si>
  <si>
    <t>DURABLE INC</t>
  </si>
  <si>
    <t>FORA FOLIENFABRIK GMBH</t>
  </si>
  <si>
    <t>PEB 019253 (2204/EXP/001/IAI-2)</t>
  </si>
  <si>
    <t>MANAKIN INDUSTRIES, LCC</t>
  </si>
  <si>
    <t>20/1</t>
  </si>
  <si>
    <t>Pot.UM Daystar/Manakin (20/1-22)</t>
  </si>
  <si>
    <t>Pot.UM Daystar (20/1-22)</t>
  </si>
  <si>
    <t>2204/EXP/001/IAI-2</t>
  </si>
  <si>
    <t>Pot.UM Stella Pack (27/1-22 &amp; 17/3-22)</t>
  </si>
  <si>
    <t>Pot.UM Stella Pack (9/12-21 &amp; 25/3-22)</t>
  </si>
  <si>
    <t>2204/EXP/003/IAI-2</t>
  </si>
  <si>
    <t>Cinta Papel</t>
  </si>
  <si>
    <t>Pot.UM Stella Pack (15/4-22)</t>
  </si>
  <si>
    <t>MMP Industries</t>
  </si>
  <si>
    <t>Greenberry</t>
  </si>
  <si>
    <t>PIETRO GALLIANI SPA</t>
  </si>
  <si>
    <t>Pietro Galliani</t>
  </si>
  <si>
    <t>Rivan Aluminium</t>
  </si>
  <si>
    <t>Pot.UM Stella (21/4-22)</t>
  </si>
  <si>
    <t>Pot.UM Stella (14/4-22)</t>
  </si>
  <si>
    <t>Pot.UM Cellofix</t>
  </si>
  <si>
    <t>Pot.UM Propack Pacific (21/1-22 &amp; 08/3-22)</t>
  </si>
  <si>
    <t>Pot.UM Hang Yue Tong/Effegidi</t>
  </si>
  <si>
    <t>Propack Pacific (sisa $10.000,-)</t>
  </si>
  <si>
    <t>Pot.UM Daystar/Endal.SL (31/3-22)</t>
  </si>
  <si>
    <t>Daystar/Eken</t>
  </si>
  <si>
    <t>Pot.UM Daystar/Eken (01/7-22)</t>
  </si>
  <si>
    <t>Daystar/Endal.SL</t>
  </si>
  <si>
    <t>FORA GERMANY</t>
  </si>
  <si>
    <t>Daystar/Fora Folienfabrik</t>
  </si>
  <si>
    <t>Pot.UM Daystar/Fora Folienfabrik (24/2-22)</t>
  </si>
  <si>
    <t>Pot.UM Daystar/Fora Folienfabrik (28/7-22)</t>
  </si>
  <si>
    <t>Pot.UM Daystar/Fora Folienfabrik (05/3-22)</t>
  </si>
  <si>
    <t>NIPRA/PASCHIM CHEMICALS</t>
  </si>
  <si>
    <t>Pot.UM Fora Folienfabrik (28/6-22)</t>
  </si>
  <si>
    <t>Fora Folienfabrik</t>
  </si>
  <si>
    <t>Pot.UM Fora Folienfabrik (23/7-22)</t>
  </si>
  <si>
    <t>Pot.UM Daystar (24/11-21)</t>
  </si>
  <si>
    <t>Pot.UM Daystar (29/12-21)</t>
  </si>
  <si>
    <t>Effegidi</t>
  </si>
  <si>
    <t>Pot.UM Effegidi (17/6-22)</t>
  </si>
  <si>
    <t>FOIL FIX S.L</t>
  </si>
  <si>
    <t>Pot.UM Manakin (11/8-22 &amp; 31/08-22)</t>
  </si>
  <si>
    <t>Manakin</t>
  </si>
  <si>
    <t>Pot.UM Stella Pack (29/4-22)</t>
  </si>
  <si>
    <t>Pot.UM Stella Pack (5/5-22)</t>
  </si>
  <si>
    <t>Durable</t>
  </si>
  <si>
    <t>Pot.UM Pietro (17/6-22)</t>
  </si>
  <si>
    <t>Pot.UM Rivan Al (18/6-22 &amp; 24/8-22)</t>
  </si>
  <si>
    <t>Pot.UM Durable (26/8-22)</t>
  </si>
  <si>
    <t xml:space="preserve">Pot.UM Durable </t>
  </si>
  <si>
    <t>Pot.UM MMP Industries (10/6-22 &amp; 18/8-22)</t>
  </si>
  <si>
    <t>Rivan Al</t>
  </si>
  <si>
    <t>Paschin Chemicals</t>
  </si>
  <si>
    <t>PEB 056653 (2210/EXP/002/IAI-2)</t>
  </si>
  <si>
    <t>PEB 057877 (2210/EXP/004/IAI-2)</t>
  </si>
  <si>
    <t>Foil Fix</t>
  </si>
  <si>
    <t>Pot.UM Greenberry (13/6-22)</t>
  </si>
  <si>
    <t>Pot.UM Effegidi (20/9-22)</t>
  </si>
  <si>
    <t>Pot.UM Effegidi (29/9-22)</t>
  </si>
  <si>
    <t>Pot.UM Manakin (11/8-22)</t>
  </si>
  <si>
    <t>Pot.UM Manakin (20/1-22 &amp; 11/8-22)</t>
  </si>
  <si>
    <t>Pot.UM Paschim (2/8-22 &amp; 30/9-22)</t>
  </si>
  <si>
    <t>Pot.UM Rivan Al (18/6-22 &amp; 22/9-22)</t>
  </si>
  <si>
    <t>Pot.UM Durable (14/9-22)</t>
  </si>
  <si>
    <t>PEB 060568 (2211/EXP/001/IAI-2)</t>
  </si>
  <si>
    <t>Pot.UM Durable (22/9)</t>
  </si>
  <si>
    <t>Pot.UM Durable (26/8, 22/9)</t>
  </si>
  <si>
    <t xml:space="preserve">daystar/durable, manakin, fora </t>
  </si>
  <si>
    <t>Pot.UM Cinta Papel (05/05-22)</t>
  </si>
  <si>
    <t>PI 2209/EXP/014/IAI-2</t>
  </si>
  <si>
    <t>PI 2209/EXP/018/IAI-2</t>
  </si>
  <si>
    <t>Pot.UM Foil Fix (08/08-22)</t>
  </si>
  <si>
    <t>OVER PAYMENT</t>
  </si>
  <si>
    <t>Pot.UM Foil Fix (22/09-22)</t>
  </si>
  <si>
    <t>Over Payment</t>
  </si>
  <si>
    <t>Pot.UM Manakin (13/10-22)</t>
  </si>
  <si>
    <t>Pot.UM Daystar (22/09-22)</t>
  </si>
  <si>
    <t>CONTRACT 0608/EXP/2022</t>
  </si>
  <si>
    <t>Pot.UM Daystar (11/11-22)</t>
  </si>
  <si>
    <t>Pot.UM Effegidi (03/11-22)</t>
  </si>
  <si>
    <t>Pot.UM Effegidi (13/10-22)</t>
  </si>
  <si>
    <t>Pot.UM Effegidi (31/10-22)</t>
  </si>
  <si>
    <t>CONTRACT 0811/EXP/2022</t>
  </si>
  <si>
    <t>EKEN</t>
  </si>
  <si>
    <t>CONTRACT 0402/EXP/2022</t>
  </si>
  <si>
    <t>CONTRACT 0104/EXP/2022</t>
  </si>
  <si>
    <t>Daystar/Fora Folienfabrik (-13.408 - 40.000</t>
  </si>
  <si>
    <t>Fora (-10.000</t>
  </si>
  <si>
    <t>Pot.UM Fora (05/03-22 &amp; 28/06-22)</t>
  </si>
  <si>
    <t>CONTRACT 0501/EXP/2022-R</t>
  </si>
  <si>
    <t>2203/EXP/001/IAI-1 &amp; 2203/EXP/002/IAI-1</t>
  </si>
  <si>
    <t>eken</t>
  </si>
  <si>
    <t>fora</t>
  </si>
  <si>
    <t>manakin</t>
  </si>
  <si>
    <t>pietro</t>
  </si>
  <si>
    <t>propack</t>
  </si>
  <si>
    <t>Pot. UM</t>
  </si>
  <si>
    <t>2212/EXP/012/IAI-2</t>
  </si>
  <si>
    <t>2301/EXP/002/IAI-2</t>
  </si>
  <si>
    <t>2212/EXP/009/IAI-2</t>
  </si>
  <si>
    <t>2301/EXP/001/IAI-2</t>
  </si>
  <si>
    <t>2301/EXP/003/IAI-2</t>
  </si>
  <si>
    <t>2301/EXP/005/IAI-2</t>
  </si>
  <si>
    <t>2301/EXP/004/IAI-2</t>
  </si>
  <si>
    <t>2301/EXP/010/IAI-2</t>
  </si>
  <si>
    <t>2301/EXP/006/IAI-2</t>
  </si>
  <si>
    <t>2301/EXP/011/IAI-2</t>
  </si>
  <si>
    <t>PEB 002727 (2301/EXP/008/IAI-2)</t>
  </si>
  <si>
    <t>PEB 004226 (2301/EXP/009/IAI-2)</t>
  </si>
  <si>
    <t>PEB 003540 (2301/EXP/003/IAI-2)</t>
  </si>
  <si>
    <t>PEB 003539 (2391/EXP/004/IAI-2)</t>
  </si>
  <si>
    <t>PEB 003577 (2301/EXP/005/IAI-2)</t>
  </si>
  <si>
    <t>PEB 003525 (2301/EXP/006/IAI-2)</t>
  </si>
  <si>
    <t>CONTRACT 0101/EXP/2023</t>
  </si>
  <si>
    <t>POT.UM Daystar (22/09-22)</t>
  </si>
  <si>
    <t>POT.UM Daystar (11/11-22)</t>
  </si>
  <si>
    <t>POT. UM Stella (27/10-22)</t>
  </si>
  <si>
    <t>POT. UM Daystar (11/11-22)</t>
  </si>
  <si>
    <t>POT. UM Stella (14/11-22)</t>
  </si>
  <si>
    <t>TAHUN 2023</t>
  </si>
  <si>
    <t>POT. UM PIETRO GALLIANI SPA (31/08-22)</t>
  </si>
  <si>
    <t>Durable (-10.000-20.000-47.000-10.000-10.000</t>
  </si>
  <si>
    <t>PEB 002206 (2301/EXP/002/IAI-2) - $ 10.000 - $ 10.000</t>
  </si>
  <si>
    <t>PEB 002944 (2301/EXP/010/IAI-2) - $ 29.588,80</t>
  </si>
  <si>
    <t>2301/EXP/008/IAI-2 &amp; 2301/EXP/009/IAI-2</t>
  </si>
  <si>
    <t>PF.2301/EXP/011/IAI-2</t>
  </si>
  <si>
    <t>MANAKIN INDUSTRIES, LLC</t>
  </si>
  <si>
    <t>PEB 005923 (2301/EXP/013/IAI-2)</t>
  </si>
  <si>
    <t>PEB 009181 (2302/EXP/006/IAI-2)</t>
  </si>
  <si>
    <t>PEB 010370 (2302/EXP/009/IAI-2)</t>
  </si>
  <si>
    <t>PEB 006468 (2302/EXP/003/IAI-2)</t>
  </si>
  <si>
    <t>PEB 005172 (2301/EXP/001/IAI-2)</t>
  </si>
  <si>
    <t>PEB 007278 (2302/EXP/004/IAI-2)</t>
  </si>
  <si>
    <t>PEB 010631 (2302/EXP/008/IAI-2)</t>
  </si>
  <si>
    <t>2301/EXP/013/IAI-2</t>
  </si>
  <si>
    <t>POT. UM DAYSTAR (13/12-22)</t>
  </si>
  <si>
    <t>POT. UM</t>
  </si>
  <si>
    <t>2302/EXP/004/IAI-2</t>
  </si>
  <si>
    <t>Manakin (-50.000 -30.000 -50.000 -42.270,80</t>
  </si>
  <si>
    <t>POT. UM MANAKIN (13/10-22)</t>
  </si>
  <si>
    <t>2302/EXP/003/IAI-2</t>
  </si>
  <si>
    <t>PENERIMAAN</t>
  </si>
  <si>
    <t>POT. UM MANAKIN (13/12-22)</t>
  </si>
  <si>
    <t>2302/EXP/006/IAI-2</t>
  </si>
  <si>
    <t>POT. UM DAYSTAR (13/01)</t>
  </si>
  <si>
    <t>2302/EXP/009/IAI-2</t>
  </si>
  <si>
    <t>Daystar (-30.000 -36.000 -54.000,60</t>
  </si>
  <si>
    <t>PI.2301/EXP/012/IAI-2</t>
  </si>
  <si>
    <t>EFFEGIDI</t>
  </si>
  <si>
    <t>CONTRACT NO.1811/EXP/2022</t>
  </si>
  <si>
    <t>DAYSTAR</t>
  </si>
  <si>
    <t>POT. UM FOIL FIX (06/10-22)</t>
  </si>
  <si>
    <t>FOIL FIX</t>
  </si>
  <si>
    <t>PASCHIM CHEMICALS PVT LTD</t>
  </si>
  <si>
    <t>CONTRACT NO.0102/EXP/2023</t>
  </si>
  <si>
    <t>PASCHIM</t>
  </si>
  <si>
    <t>EKEN GMBH &amp; CO.KG</t>
  </si>
  <si>
    <t>PEB 012890 (2302/EXP/005/IAI-2)</t>
  </si>
  <si>
    <t>PEB 015423 (2303/EXP/010/IAI-2)</t>
  </si>
  <si>
    <t>PEB 015770 (2303/EXP/008/IAI-2)</t>
  </si>
  <si>
    <t>PEB 015771 (2303/EXP/013/IAI-2)</t>
  </si>
  <si>
    <t>PEB 011847 (2303/EXP/001/IAI-2)</t>
  </si>
  <si>
    <t>PEB 012151 (2303/EXP/002/IAI-2)</t>
  </si>
  <si>
    <t>PEB 017861 (2303/EXP/007/IAI-2R)</t>
  </si>
  <si>
    <t>PEB 016897 (2303/EXP/003/IAI-2)</t>
  </si>
  <si>
    <t>PEB 014944 (2303/EXP/006/IAI-2)</t>
  </si>
  <si>
    <t>2302/EXP/008/IAI-2</t>
  </si>
  <si>
    <t>POT. UM STELLA (06/12-22)</t>
  </si>
  <si>
    <t>MOHEDA &amp; RANAL S.L</t>
  </si>
  <si>
    <t>PI.2302/EXP/005/IAI-2</t>
  </si>
  <si>
    <t>MOHEDA &amp; Ranal</t>
  </si>
  <si>
    <t>2302/EXP/005/IAI-2 &amp; 2303/EXP/010/IAI-2</t>
  </si>
  <si>
    <t>2303/EXP/008/IAI-2 &amp; 2303/EXP/013/IAI-2</t>
  </si>
  <si>
    <t>POT. UM EFFEGIDI (24/02)</t>
  </si>
  <si>
    <t>POT. UM EFFEGIDI (07/02)</t>
  </si>
  <si>
    <t>CONTRACT NO.0711/EXP/2022-R2</t>
  </si>
  <si>
    <t>2303/EXP/009/IAI-2-R</t>
  </si>
  <si>
    <t>PEB 017655 (2303/EXP/009/IAI-2-R) -$30.000</t>
  </si>
  <si>
    <t>PEB 016454 (2303/EXP/014/IAI-2) -$15.168 -$27.000</t>
  </si>
  <si>
    <t>2303/EXP/014/IAI-2</t>
  </si>
  <si>
    <t>POT. UM DAYSTAR (27/02)</t>
  </si>
  <si>
    <t>2303/EXP/002/IAI-2</t>
  </si>
  <si>
    <t>PI.2303/EXP/007/IAI-2</t>
  </si>
  <si>
    <t>PI.2303/EXP/004/IAI-2</t>
  </si>
  <si>
    <t>POT. UM FOIL FIX (15/02)</t>
  </si>
  <si>
    <t>2303/EXP/003/IAI-2</t>
  </si>
  <si>
    <t>Manakin (-30.000 -24.000</t>
  </si>
  <si>
    <t>2303/EXP/006/IAI-2</t>
  </si>
  <si>
    <t>PI.2303/EXP/015/IAI-2</t>
  </si>
  <si>
    <t>V</t>
  </si>
  <si>
    <t>POT. UM EKEN</t>
  </si>
  <si>
    <t>MOHEDA &amp; RANAL SL</t>
  </si>
  <si>
    <t>PEB 022389 (2304/EXP/002/IAI-2)</t>
  </si>
  <si>
    <t>PEB 018830 (2304/EXP/001/IAI-2)</t>
  </si>
  <si>
    <t>PEB 019046 (2304/EXP/003/IAI-2)</t>
  </si>
  <si>
    <t>PEB 019834 (2304/EXP/004/IAI-2)</t>
  </si>
  <si>
    <t>CONTRACT NO.0112/EXP/2022</t>
  </si>
  <si>
    <t>Daystar (-8.000 -22.000 -15.168 -30,000,-)</t>
  </si>
  <si>
    <t>PI 2304/EXP/002/IAI-2</t>
  </si>
  <si>
    <t>2304/EXP/001-IAI-2</t>
  </si>
  <si>
    <t>PI 2303/EXP/018/IAI-2</t>
  </si>
  <si>
    <t>PIETRO GALLIANI</t>
  </si>
  <si>
    <t>PI 2304/EXP/001/IAI-1</t>
  </si>
  <si>
    <t xml:space="preserve">PASCHIM </t>
  </si>
  <si>
    <t>PI 2304/EXP/005/IAI-2</t>
  </si>
  <si>
    <t>2304/EXP/001/IAI-2</t>
  </si>
  <si>
    <t>PEB 023658 (2305/EXP/002/IAI-2)</t>
  </si>
  <si>
    <t>PEB 023662 (2305/EXP/001/IAI-2)</t>
  </si>
  <si>
    <t>PEB 023664 (2305/EXP/003/IAI-2)</t>
  </si>
  <si>
    <t>PEB 024992 (2305/EXP/009/IAI-2)</t>
  </si>
  <si>
    <t>PEB 026561 (2305/EXP/012/IAI-2)</t>
  </si>
  <si>
    <t>PEB 027533 (2305/EXP/005/IAI-2)</t>
  </si>
  <si>
    <t>PEB 022898 (2304/EXP/001/IAI-1)</t>
  </si>
  <si>
    <t>PEB 026519 (2305/EXP/006/IAI-2)</t>
  </si>
  <si>
    <t>2305/EXP/002/IAI-2</t>
  </si>
  <si>
    <t>POT.UM</t>
  </si>
  <si>
    <t>2305/EXP/003/IAI-2</t>
  </si>
  <si>
    <t>2305/EXP/009/IAI-2</t>
  </si>
  <si>
    <t>2305/EXP/012/IAI-2</t>
  </si>
  <si>
    <t>2305/EXP/005/IAI-2</t>
  </si>
  <si>
    <t>2305/EXP/006/IAI-2</t>
  </si>
  <si>
    <t>2305/EXP/001/IAI-2</t>
  </si>
  <si>
    <t>2305/EXP/011/IAI-2</t>
  </si>
  <si>
    <t>EFFEGIDI (CHEONGFULI)</t>
  </si>
  <si>
    <t>CONTRACT NO. 0301/EXP/2023</t>
  </si>
  <si>
    <t>VESCEL PACKAGING SL</t>
  </si>
  <si>
    <t>VESCEL PACAKING SL</t>
  </si>
  <si>
    <t>POT.UM DAYSTAR (27/02)</t>
  </si>
  <si>
    <t>POT.UM DAYSTAR (15/03)</t>
  </si>
  <si>
    <t>POT.UM DAYSTAR (06/04)</t>
  </si>
  <si>
    <t>POT.UM PIETRO (31/08-22)</t>
  </si>
  <si>
    <t>POT.UM MANAKIN (13/12-22)</t>
  </si>
  <si>
    <t>POT.UM MANAKIN (13/02)</t>
  </si>
  <si>
    <t>POT.UM PIETRO (14/04)</t>
  </si>
  <si>
    <t>POT.UM PASCHIM (03/02)</t>
  </si>
  <si>
    <t>POT.UM PASCHIM (18/04)</t>
  </si>
  <si>
    <t>MANAKIN INDUSTRIES</t>
  </si>
  <si>
    <t>STELLA PACK</t>
  </si>
  <si>
    <t>2306/EXP/003/IAI-2</t>
  </si>
  <si>
    <t>2306/EXP/007/IAI-2</t>
  </si>
  <si>
    <t>2306/EXP/010/IAI-2</t>
  </si>
  <si>
    <t>2306/EXP/002/IAI-2</t>
  </si>
  <si>
    <t>CONTRACT NO.0201/EXP/2023</t>
  </si>
  <si>
    <t>2306/EXP/008/IAI-2</t>
  </si>
  <si>
    <t>2306/EXP/012/IAI-2</t>
  </si>
  <si>
    <t>2306/EXP/011/IAI-2</t>
  </si>
  <si>
    <t>2305/EXP/014/IAI-2</t>
  </si>
  <si>
    <t>2306/EXP/001/IAI-2</t>
  </si>
  <si>
    <t>2306/EXP/009/IAI-2</t>
  </si>
  <si>
    <t>2305/EXP/015/IAI-2</t>
  </si>
  <si>
    <t>2306/EXP/006/IAI-2</t>
  </si>
  <si>
    <t>2306/EXP/015/IAI-2</t>
  </si>
  <si>
    <t>CONTRACT NO. 0104/EXP/2023</t>
  </si>
  <si>
    <t>CONTRACT NO 0106/EXP/2023</t>
  </si>
  <si>
    <t>PASCHIM CHEMICAL</t>
  </si>
  <si>
    <t>PEB 031633 (2306/EXP/006/IAI-2)</t>
  </si>
  <si>
    <t>PEB 031809 (2306/EXP/007/IAI-2)</t>
  </si>
  <si>
    <t>PEB 033324 (2306/EXP/010/IAI-2)</t>
  </si>
  <si>
    <t>PEB 033165 (2306/EXP/011/IAI-2)</t>
  </si>
  <si>
    <t>PEB 035163 (2306/EXP/008/IAI-2)</t>
  </si>
  <si>
    <t>PEB 035166 (2306/EXP/012/IAI-2)</t>
  </si>
  <si>
    <t>PEB 032070 (2306/EXP/009/IAI-2)</t>
  </si>
  <si>
    <t>PI 2306/EXP/015/IAI-2</t>
  </si>
  <si>
    <t>PEB 030561 (2306/EXP/003/IAI-2)</t>
  </si>
  <si>
    <t>PEB 033159 (2306/EXP/002/IAI-2)</t>
  </si>
  <si>
    <t>PEB 033157 (2306/EXP/001/IAI-2)</t>
  </si>
  <si>
    <t>POT.UM MANAKIN (13/02-23)</t>
  </si>
  <si>
    <t>POT.UM STELLA PACK (06/12-22)</t>
  </si>
  <si>
    <t>POT.UM DAYSTAR (15/03-23)</t>
  </si>
  <si>
    <t>POT.UM DAYSTAR (06/04-23)</t>
  </si>
  <si>
    <t>POT.UM EFFEGIDI (10/04-23)</t>
  </si>
  <si>
    <t>POT.UM STELLA PACK (14/11-22)</t>
  </si>
  <si>
    <t>POT.UM DAYSTAR (22/05-23)</t>
  </si>
  <si>
    <t>PI 2305/EXP/011/IAI-2</t>
  </si>
  <si>
    <t>DAYSTAR (-27.000 -41.000 -70.472,80</t>
  </si>
  <si>
    <t>TRADE CHANNELS</t>
  </si>
  <si>
    <t>VESCEL PACKAGING</t>
  </si>
  <si>
    <t>2307/EXP/001/IAI-2</t>
  </si>
  <si>
    <t>2307/EXP/003/IAI-2</t>
  </si>
  <si>
    <t>2307/EXP/004/IAI-2</t>
  </si>
  <si>
    <t>2307/EXP/007/IAI-2</t>
  </si>
  <si>
    <t>2306/EXP/018/IAI-2</t>
  </si>
  <si>
    <t>2307/EXP/010/IAI-2</t>
  </si>
  <si>
    <t>2307/EXP/012/IAI-2</t>
  </si>
  <si>
    <t>CONTRACT NO. 0402/EXP/2023</t>
  </si>
  <si>
    <t>2307/EXP/013/IAI-2</t>
  </si>
  <si>
    <t>2307/EXP/014/IAI-2</t>
  </si>
  <si>
    <t>PASCHIM CHEMICALS</t>
  </si>
  <si>
    <t>2306/EXP/005/IAI-2</t>
  </si>
  <si>
    <t>2307/EXP/008/IAI-2</t>
  </si>
  <si>
    <t>2307/EXP/001/IAI-1</t>
  </si>
  <si>
    <t>PEB 036088 (2307/EXP/001/IAI-2)</t>
  </si>
  <si>
    <t>PEB 037507 (2307/EXP/003/IAI-2)</t>
  </si>
  <si>
    <t>PEB 038668 (2307/EXP/004/IAI-2)</t>
  </si>
  <si>
    <t>PEB 038809 (2307/EXP/008/IAI-2)</t>
  </si>
  <si>
    <t xml:space="preserve"> </t>
  </si>
  <si>
    <t>PEB 039190 (2307/EXP/007/IAI-2)</t>
  </si>
  <si>
    <t>PEB 039971 (2307/EXP/010/IAI-2)</t>
  </si>
  <si>
    <t>PEB 040210 (2307/EXP/012/IAI-2)</t>
  </si>
  <si>
    <t>PEB 041168 (2307/EXP/013/IAI-2)</t>
  </si>
  <si>
    <t>PEB 041171 (2307/EXP/014/IAI-2)</t>
  </si>
  <si>
    <t>PEB 039190 (2307/EXP/011/IAI-2)</t>
  </si>
  <si>
    <t>POT. UM STELLA PACK (14/11-22)</t>
  </si>
  <si>
    <t>POT. UM PIETRO GALLANI (08/06-23)</t>
  </si>
  <si>
    <t>POT. UM STELLA PACK (03/01-23)</t>
  </si>
  <si>
    <t>POT. UM VESCEL PACKAGING (02/05-23)</t>
  </si>
  <si>
    <t>POT. UM DAYSTAR (22/05-23)</t>
  </si>
  <si>
    <t>POT. UM DAYSTAR (07/07-23)</t>
  </si>
  <si>
    <t>2307/EXP/009/IAI-2</t>
  </si>
  <si>
    <t>EFFEGIDI INTERNATIONAL</t>
  </si>
  <si>
    <t>2307/EXP/016/IAI-2</t>
  </si>
  <si>
    <t>2308/EXP/001/IAI-2</t>
  </si>
  <si>
    <t>2308/EXP/001/IAI-1</t>
  </si>
  <si>
    <t>2308/EXP/002/IAI-2</t>
  </si>
  <si>
    <t>2308/EXP/006/IAI-2</t>
  </si>
  <si>
    <t>2308/EXP/007/IAI-2</t>
  </si>
  <si>
    <t>2308/EXP/012/IAI-2</t>
  </si>
  <si>
    <t>CONTRACT NO. 0306/EXP/2023</t>
  </si>
  <si>
    <t>2308/EXP/015/IAI-2</t>
  </si>
  <si>
    <t>PEB 047783 (2308/EXP/015/IAI-2)</t>
  </si>
  <si>
    <t>POT.UM DAYSTAR (31/07-23)</t>
  </si>
  <si>
    <t>PEB 042240 (2308/EXP/001/IAI-2)</t>
  </si>
  <si>
    <t>PEB 042876 (2308/EXP/001/IAI-1)</t>
  </si>
  <si>
    <t>Lebih Bayar Freight (2308/EXP/001/IAI-1)</t>
  </si>
  <si>
    <t>POT. UM DAYSTAR (31/07-23)</t>
  </si>
  <si>
    <t>POT. UM PASCHIM CHEMICAL (13/06-23)</t>
  </si>
  <si>
    <t>PEB 043159 (2308/EXP/009/IAI-2)</t>
  </si>
  <si>
    <t>2308/EXP/009/IAI-2</t>
  </si>
  <si>
    <t>POT.UM EFFEGIDI (14/03-23)</t>
  </si>
  <si>
    <t>PEB 044800 (2308/EXP/008/IAI-2)</t>
  </si>
  <si>
    <t>POT.UM EKEN GMBH (10/05-23)</t>
  </si>
  <si>
    <t>PEB 046083 (2308/EXP/012/IAI-2)</t>
  </si>
  <si>
    <t>POT.UM DAYSTAR (07/07-23)</t>
  </si>
  <si>
    <t>PEB 046084 (2308/EXP/007/IAI-2)</t>
  </si>
  <si>
    <t>PEB 046201 (2308/EXP/006/IAI-2)</t>
  </si>
  <si>
    <t>SC 0111,0211,0311,0411,0511,0911,1011 /EXP/2022</t>
  </si>
  <si>
    <t>2308/EXP/005/IAI-2</t>
  </si>
  <si>
    <t>PEB 046202 (2308/EXP/005/IAI-2)</t>
  </si>
  <si>
    <t>PEB 047467 (2308/EXP/014/IAI-2)</t>
  </si>
  <si>
    <t>2308/EXP/014/IAI-2</t>
  </si>
  <si>
    <t>PEB 047696 (2308/EXP/013/IAI-2)</t>
  </si>
  <si>
    <t>2308/EXP/013/IAI-2</t>
  </si>
  <si>
    <t>CONTRACT NO. 0108/EXP/2023</t>
  </si>
  <si>
    <t>DURABLE</t>
  </si>
  <si>
    <t>2309/EXP/001/IAI-2</t>
  </si>
  <si>
    <t>PEB 049056 (2309/EXP/001/IAI-2)</t>
  </si>
  <si>
    <t>POT.UM STELLA PACK (03/01-23)</t>
  </si>
  <si>
    <t>PEB 050021 (2309/EXP/001/IAI-1)</t>
  </si>
  <si>
    <t>2309/EXP/001/IAI-1</t>
  </si>
  <si>
    <t>POT.UM PASCHIM CHEMICAL (06/07-23)</t>
  </si>
  <si>
    <t>PEB 052295 (2309/EXP/004/IAI-2)</t>
  </si>
  <si>
    <t>2309/EXP/004/IAI-2</t>
  </si>
  <si>
    <t>CONTRACT NO. 0207/EXP/2023</t>
  </si>
  <si>
    <t>POT.UM DAYSTAR (08/09-23)</t>
  </si>
  <si>
    <t>PEB 900887 (2309/EXP/003/IAI-2)</t>
  </si>
  <si>
    <t>2309/EXP/003/IAI-2</t>
  </si>
  <si>
    <t>PEB 052943 (2309/EXP/006/IAI-2)</t>
  </si>
  <si>
    <t>2309/EXP/006/IAI-2</t>
  </si>
  <si>
    <t>PEB 901029 (2309/EXP/007/IAI-2)</t>
  </si>
  <si>
    <t>2309/EXP/007/IAI-2</t>
  </si>
  <si>
    <t>2309/EXP/002/IAI-2</t>
  </si>
  <si>
    <t>2309/EXP/002/IAI-2 (PEB 900659)</t>
  </si>
  <si>
    <t>PEB 902650 (2310/EXP/003/IAI-2)</t>
  </si>
  <si>
    <t>PEB 903270 (2310/EXP/004/IAI-2)</t>
  </si>
  <si>
    <t>PEB 901544 (2310/EXP/001/IAI-2)</t>
  </si>
  <si>
    <t>PEB 901790 (2310/EXP/001/IAI-1)</t>
  </si>
  <si>
    <t>PEB 902655 (2310/EXP/002/IAI-2)</t>
  </si>
  <si>
    <t>2310/EXP/001/IAI-2</t>
  </si>
  <si>
    <t>2310/EXP/001/IAI-1</t>
  </si>
  <si>
    <t>2310/EXP/003/IAI-2</t>
  </si>
  <si>
    <t>2310/EXP/002/IAI-2</t>
  </si>
  <si>
    <t>POT.UM FOIL FIX (20/10-22)</t>
  </si>
  <si>
    <t>POT.UM PASCHIM CHEMICAL (15/08-23)</t>
  </si>
  <si>
    <t>2310/EXP/004/IAI-2</t>
  </si>
  <si>
    <t>PEB 903351 (2310/EXP/005/IAI-2)</t>
  </si>
  <si>
    <t>2310/EXP/005/IAI-2</t>
  </si>
  <si>
    <t>POT.UM DAYSTAR (12/09-23)</t>
  </si>
  <si>
    <t>2311/EXP/001/IAI-2</t>
  </si>
  <si>
    <t>2310/EXP/006/IAI-2</t>
  </si>
  <si>
    <t>2311/EXP/001/IAI-1</t>
  </si>
  <si>
    <t>2311/EXP/004/IAI-2</t>
  </si>
  <si>
    <t>2311/EXP/007/IAI-2</t>
  </si>
  <si>
    <t>2311/EXP/005/IAI-2</t>
  </si>
  <si>
    <t>PEB 903476 (2310/EXP/006/IAI-2)</t>
  </si>
  <si>
    <t>PEB 903772 (2311/EXP/001/IAI-2)</t>
  </si>
  <si>
    <t>PEB 905617 (2311/EXP/002/IAI-2)</t>
  </si>
  <si>
    <t>PEB 905613 (2311/EXP/003/IAI-2)</t>
  </si>
  <si>
    <t>PEB 906355 (2311/EXP/001/IAI-1)</t>
  </si>
  <si>
    <t>PEB 906431 (2311/EXP/004/IAI-2)</t>
  </si>
  <si>
    <t>PEB 906435 (2311/EXP/005/IAI-2)</t>
  </si>
  <si>
    <t>PEB 906747 (2311/EXP/006/IAI-2)</t>
  </si>
  <si>
    <t>PEB 906743 (2311/EXP/007/IAI-2)</t>
  </si>
  <si>
    <t>PEB 907284 (2311/EXP/008/IAI-2)</t>
  </si>
  <si>
    <t>2311/EXP/002/IAI-2</t>
  </si>
  <si>
    <t>2311/EXP/003/IAI-2</t>
  </si>
  <si>
    <t>DISC (B.BANK)</t>
  </si>
  <si>
    <t>2311/EXP/008/IAI-2</t>
  </si>
  <si>
    <t>POT.UM DAYSTAR (04/10-23)</t>
  </si>
  <si>
    <t>POT.UM PASCHIM (27/09-23)</t>
  </si>
  <si>
    <t>POT.UM DAYSTAR (24/10-23)</t>
  </si>
  <si>
    <t>ADJ -&gt; 0111/EXP/2023</t>
  </si>
  <si>
    <t>ADJ -&gt; Contract No. 0111/EXP/2023</t>
  </si>
  <si>
    <t>CONTRACT NO, 0111/EXP/2023</t>
  </si>
  <si>
    <t>POT.UM DAYSTAR (13/11-23)</t>
  </si>
  <si>
    <t>PEB 909718 (2312/EXP/001/IAI-2)</t>
  </si>
  <si>
    <t>PEB 910818 (2312/EXP/002/IAI-2)</t>
  </si>
  <si>
    <t>PEB 911810 (2312/EXP/001/IAI-1)</t>
  </si>
  <si>
    <t>PEB 912716 (2312/EXP/003/IAI-2R)</t>
  </si>
  <si>
    <t>2312/EXP/001/IAI-2</t>
  </si>
  <si>
    <t>2312/EXP/002/IAI-2</t>
  </si>
  <si>
    <t>2312/EXP/001/IAI-1</t>
  </si>
  <si>
    <t>2312/EXP/003/IAI-2R</t>
  </si>
  <si>
    <t>POT.UM FOIL FIX (22/10-22)</t>
  </si>
  <si>
    <t>POT.UM PASCHIM CHEMICALS (29/09-23)</t>
  </si>
  <si>
    <t>Refund - EFFEGIDI</t>
  </si>
  <si>
    <t>Potong Refund $ 68,706</t>
  </si>
  <si>
    <t>POT.UM EFFEGIDI (11/05-23)</t>
  </si>
  <si>
    <t>POT.UM FOIL FIX (06/10-22)</t>
  </si>
  <si>
    <t>ADJ KE FOIL FIX</t>
  </si>
  <si>
    <t>Sisa</t>
  </si>
  <si>
    <t>ADJ ke DAYSTAR</t>
  </si>
  <si>
    <t>ADJ dari DAYSTAR</t>
  </si>
  <si>
    <t>Pengembalian Propack</t>
  </si>
  <si>
    <t>Pengembalian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</si>
</sst>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0000"/>
    <numFmt numFmtId="165" formatCode="#,##0.00000"/>
    <numFmt numFmtId="166" formatCode="_([$$-409]* #,##0.00_);_([$$-409]* \(#,##0.00\);_([$$-409]* &quot;-&quot;??_);_(@_)"/>
    <numFmt numFmtId="167" formatCode="_(* #,##0.00_);_(* \(#,##0.00\);_(* &quot;-&quot;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sz val="10"/>
      <color rgb="FF7030A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u val="singleAccounting"/>
      <sz val="10"/>
      <color theme="9" tint="-0.499984740745262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theme="7" tint="-0.499984740745262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rgb="FF00660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66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36">
    <xf numFmtId="0" fontId="0" fillId="0" borderId="0" xfId="0"/>
    <xf numFmtId="0" fontId="2" fillId="0" borderId="0" xfId="0" applyFont="1"/>
    <xf numFmtId="15" fontId="2" fillId="0" borderId="0" xfId="0" applyNumberFormat="1" applyFont="1"/>
    <xf numFmtId="44" fontId="2" fillId="0" borderId="0" xfId="2" applyFont="1"/>
    <xf numFmtId="43" fontId="2" fillId="0" borderId="0" xfId="1" applyFont="1"/>
    <xf numFmtId="15" fontId="3" fillId="0" borderId="0" xfId="0" applyNumberFormat="1" applyFont="1"/>
    <xf numFmtId="44" fontId="3" fillId="0" borderId="0" xfId="2" applyFont="1"/>
    <xf numFmtId="43" fontId="3" fillId="0" borderId="0" xfId="1" applyFont="1"/>
    <xf numFmtId="0" fontId="3" fillId="0" borderId="1" xfId="0" applyFont="1" applyBorder="1"/>
    <xf numFmtId="15" fontId="3" fillId="0" borderId="1" xfId="0" applyNumberFormat="1" applyFont="1" applyBorder="1" applyAlignment="1">
      <alignment horizontal="right"/>
    </xf>
    <xf numFmtId="15" fontId="2" fillId="0" borderId="4" xfId="0" applyNumberFormat="1" applyFont="1" applyBorder="1"/>
    <xf numFmtId="0" fontId="2" fillId="0" borderId="4" xfId="0" applyFont="1" applyBorder="1"/>
    <xf numFmtId="44" fontId="2" fillId="0" borderId="4" xfId="2" applyFont="1" applyBorder="1"/>
    <xf numFmtId="43" fontId="2" fillId="0" borderId="4" xfId="1" applyFont="1" applyBorder="1"/>
    <xf numFmtId="44" fontId="4" fillId="0" borderId="0" xfId="2" applyFont="1"/>
    <xf numFmtId="44" fontId="6" fillId="0" borderId="0" xfId="2" applyFont="1"/>
    <xf numFmtId="44" fontId="2" fillId="2" borderId="0" xfId="2" applyFont="1" applyFill="1"/>
    <xf numFmtId="44" fontId="2" fillId="0" borderId="0" xfId="2" applyFont="1" applyFill="1"/>
    <xf numFmtId="44" fontId="7" fillId="0" borderId="0" xfId="2" applyFont="1"/>
    <xf numFmtId="44" fontId="2" fillId="0" borderId="0" xfId="0" applyNumberFormat="1" applyFont="1"/>
    <xf numFmtId="44" fontId="5" fillId="2" borderId="0" xfId="2" applyFont="1" applyFill="1"/>
    <xf numFmtId="44" fontId="8" fillId="0" borderId="0" xfId="2" applyFont="1"/>
    <xf numFmtId="44" fontId="9" fillId="0" borderId="0" xfId="2" applyFont="1" applyBorder="1"/>
    <xf numFmtId="44" fontId="2" fillId="3" borderId="0" xfId="2" applyFont="1" applyFill="1"/>
    <xf numFmtId="44" fontId="2" fillId="0" borderId="0" xfId="2" applyFont="1" applyBorder="1"/>
    <xf numFmtId="43" fontId="2" fillId="0" borderId="0" xfId="1" applyFont="1" applyBorder="1"/>
    <xf numFmtId="44" fontId="2" fillId="4" borderId="0" xfId="2" applyFont="1" applyFill="1"/>
    <xf numFmtId="44" fontId="2" fillId="5" borderId="0" xfId="2" applyFont="1" applyFill="1"/>
    <xf numFmtId="44" fontId="2" fillId="6" borderId="0" xfId="2" applyFont="1" applyFill="1"/>
    <xf numFmtId="44" fontId="10" fillId="0" borderId="0" xfId="2" applyFont="1"/>
    <xf numFmtId="44" fontId="11" fillId="0" borderId="0" xfId="2" applyFont="1"/>
    <xf numFmtId="44" fontId="2" fillId="7" borderId="0" xfId="2" applyFont="1" applyFill="1"/>
    <xf numFmtId="43" fontId="2" fillId="0" borderId="0" xfId="1" applyFont="1" applyFill="1"/>
    <xf numFmtId="44" fontId="2" fillId="8" borderId="0" xfId="2" applyFont="1" applyFill="1"/>
    <xf numFmtId="44" fontId="12" fillId="0" borderId="0" xfId="2" applyFont="1"/>
    <xf numFmtId="0" fontId="2" fillId="9" borderId="0" xfId="0" applyFont="1" applyFill="1"/>
    <xf numFmtId="44" fontId="2" fillId="9" borderId="0" xfId="2" applyFont="1" applyFill="1"/>
    <xf numFmtId="15" fontId="2" fillId="9" borderId="0" xfId="0" applyNumberFormat="1" applyFont="1" applyFill="1"/>
    <xf numFmtId="43" fontId="2" fillId="9" borderId="0" xfId="1" applyFont="1" applyFill="1"/>
    <xf numFmtId="44" fontId="2" fillId="10" borderId="0" xfId="2" applyFont="1" applyFill="1"/>
    <xf numFmtId="0" fontId="5" fillId="0" borderId="0" xfId="0" applyFont="1"/>
    <xf numFmtId="44" fontId="2" fillId="11" borderId="0" xfId="2" applyFont="1" applyFill="1"/>
    <xf numFmtId="15" fontId="2" fillId="12" borderId="0" xfId="0" applyNumberFormat="1" applyFont="1" applyFill="1"/>
    <xf numFmtId="0" fontId="2" fillId="12" borderId="0" xfId="0" applyFont="1" applyFill="1"/>
    <xf numFmtId="44" fontId="2" fillId="12" borderId="0" xfId="2" applyFont="1" applyFill="1"/>
    <xf numFmtId="43" fontId="2" fillId="12" borderId="0" xfId="1" applyFont="1" applyFill="1"/>
    <xf numFmtId="0" fontId="5" fillId="12" borderId="0" xfId="0" applyFont="1" applyFill="1"/>
    <xf numFmtId="43" fontId="2" fillId="4" borderId="0" xfId="1" applyFont="1" applyFill="1"/>
    <xf numFmtId="15" fontId="2" fillId="0" borderId="5" xfId="0" applyNumberFormat="1" applyFont="1" applyBorder="1"/>
    <xf numFmtId="0" fontId="2" fillId="0" borderId="5" xfId="0" applyFont="1" applyBorder="1"/>
    <xf numFmtId="43" fontId="2" fillId="0" borderId="5" xfId="1" applyFont="1" applyBorder="1"/>
    <xf numFmtId="44" fontId="2" fillId="0" borderId="5" xfId="2" applyFont="1" applyBorder="1"/>
    <xf numFmtId="44" fontId="3" fillId="0" borderId="5" xfId="2" applyFont="1" applyBorder="1"/>
    <xf numFmtId="43" fontId="3" fillId="0" borderId="5" xfId="1" applyFont="1" applyBorder="1"/>
    <xf numFmtId="44" fontId="2" fillId="0" borderId="5" xfId="2" applyFont="1" applyFill="1" applyBorder="1"/>
    <xf numFmtId="43" fontId="2" fillId="0" borderId="5" xfId="1" applyFont="1" applyFill="1" applyBorder="1"/>
    <xf numFmtId="15" fontId="2" fillId="0" borderId="6" xfId="0" applyNumberFormat="1" applyFont="1" applyBorder="1"/>
    <xf numFmtId="0" fontId="2" fillId="0" borderId="6" xfId="0" applyFont="1" applyBorder="1"/>
    <xf numFmtId="44" fontId="2" fillId="0" borderId="6" xfId="2" applyFont="1" applyBorder="1"/>
    <xf numFmtId="44" fontId="3" fillId="0" borderId="6" xfId="2" applyFont="1" applyBorder="1"/>
    <xf numFmtId="43" fontId="3" fillId="0" borderId="6" xfId="1" applyFont="1" applyBorder="1"/>
    <xf numFmtId="44" fontId="2" fillId="2" borderId="5" xfId="2" applyFont="1" applyFill="1" applyBorder="1"/>
    <xf numFmtId="15" fontId="2" fillId="8" borderId="5" xfId="0" applyNumberFormat="1" applyFont="1" applyFill="1" applyBorder="1"/>
    <xf numFmtId="0" fontId="2" fillId="8" borderId="5" xfId="0" applyFont="1" applyFill="1" applyBorder="1"/>
    <xf numFmtId="44" fontId="2" fillId="8" borderId="5" xfId="2" applyFont="1" applyFill="1" applyBorder="1"/>
    <xf numFmtId="44" fontId="2" fillId="14" borderId="0" xfId="2" applyFont="1" applyFill="1"/>
    <xf numFmtId="44" fontId="2" fillId="15" borderId="0" xfId="2" applyFont="1" applyFill="1"/>
    <xf numFmtId="4" fontId="2" fillId="0" borderId="0" xfId="0" applyNumberFormat="1" applyFont="1"/>
    <xf numFmtId="164" fontId="2" fillId="0" borderId="0" xfId="0" applyNumberFormat="1" applyFont="1"/>
    <xf numFmtId="43" fontId="2" fillId="0" borderId="0" xfId="0" applyNumberFormat="1" applyFont="1"/>
    <xf numFmtId="165" fontId="2" fillId="0" borderId="0" xfId="0" applyNumberFormat="1" applyFont="1"/>
    <xf numFmtId="44" fontId="2" fillId="16" borderId="0" xfId="2" applyFont="1" applyFill="1"/>
    <xf numFmtId="44" fontId="2" fillId="13" borderId="0" xfId="2" applyFont="1" applyFill="1"/>
    <xf numFmtId="43" fontId="2" fillId="0" borderId="0" xfId="1" applyFont="1" applyFill="1" applyBorder="1"/>
    <xf numFmtId="0" fontId="2" fillId="0" borderId="7" xfId="0" applyFont="1" applyBorder="1"/>
    <xf numFmtId="44" fontId="2" fillId="0" borderId="7" xfId="2" applyFont="1" applyBorder="1"/>
    <xf numFmtId="0" fontId="2" fillId="0" borderId="8" xfId="0" applyFont="1" applyBorder="1"/>
    <xf numFmtId="15" fontId="2" fillId="0" borderId="8" xfId="0" applyNumberFormat="1" applyFont="1" applyBorder="1"/>
    <xf numFmtId="44" fontId="2" fillId="0" borderId="8" xfId="2" applyFont="1" applyBorder="1"/>
    <xf numFmtId="43" fontId="2" fillId="0" borderId="8" xfId="1" applyFont="1" applyBorder="1"/>
    <xf numFmtId="44" fontId="3" fillId="0" borderId="8" xfId="2" applyFont="1" applyBorder="1"/>
    <xf numFmtId="43" fontId="3" fillId="0" borderId="8" xfId="1" applyFont="1" applyBorder="1"/>
    <xf numFmtId="0" fontId="3" fillId="0" borderId="3" xfId="0" applyFont="1" applyBorder="1"/>
    <xf numFmtId="0" fontId="2" fillId="0" borderId="9" xfId="0" applyFont="1" applyBorder="1"/>
    <xf numFmtId="15" fontId="2" fillId="8" borderId="8" xfId="0" applyNumberFormat="1" applyFont="1" applyFill="1" applyBorder="1"/>
    <xf numFmtId="44" fontId="2" fillId="0" borderId="9" xfId="2" applyFont="1" applyBorder="1"/>
    <xf numFmtId="0" fontId="2" fillId="8" borderId="0" xfId="0" applyFont="1" applyFill="1"/>
    <xf numFmtId="0" fontId="2" fillId="8" borderId="8" xfId="0" applyFont="1" applyFill="1" applyBorder="1"/>
    <xf numFmtId="43" fontId="2" fillId="0" borderId="9" xfId="1" applyFont="1" applyBorder="1"/>
    <xf numFmtId="44" fontId="2" fillId="16" borderId="8" xfId="2" applyFont="1" applyFill="1" applyBorder="1"/>
    <xf numFmtId="44" fontId="2" fillId="10" borderId="8" xfId="2" applyFont="1" applyFill="1" applyBorder="1"/>
    <xf numFmtId="44" fontId="2" fillId="17" borderId="7" xfId="2" applyFont="1" applyFill="1" applyBorder="1"/>
    <xf numFmtId="44" fontId="4" fillId="0" borderId="0" xfId="2" applyFont="1" applyFill="1" applyBorder="1"/>
    <xf numFmtId="44" fontId="4" fillId="0" borderId="0" xfId="2" applyFont="1" applyBorder="1"/>
    <xf numFmtId="44" fontId="5" fillId="0" borderId="0" xfId="2" applyFont="1"/>
    <xf numFmtId="44" fontId="2" fillId="18" borderId="0" xfId="2" applyFont="1" applyFill="1"/>
    <xf numFmtId="43" fontId="2" fillId="18" borderId="0" xfId="1" applyFont="1" applyFill="1"/>
    <xf numFmtId="44" fontId="7" fillId="0" borderId="5" xfId="2" applyFont="1" applyBorder="1"/>
    <xf numFmtId="44" fontId="7" fillId="0" borderId="0" xfId="2" applyFont="1" applyFill="1"/>
    <xf numFmtId="43" fontId="7" fillId="0" borderId="0" xfId="1" applyFont="1"/>
    <xf numFmtId="44" fontId="7" fillId="0" borderId="0" xfId="2" applyFont="1" applyBorder="1"/>
    <xf numFmtId="44" fontId="7" fillId="0" borderId="4" xfId="2" applyFont="1" applyBorder="1"/>
    <xf numFmtId="166" fontId="2" fillId="0" borderId="0" xfId="0" applyNumberFormat="1" applyFont="1"/>
    <xf numFmtId="166" fontId="2" fillId="0" borderId="0" xfId="2" applyNumberFormat="1" applyFont="1"/>
    <xf numFmtId="166" fontId="2" fillId="0" borderId="4" xfId="2" applyNumberFormat="1" applyFont="1" applyBorder="1"/>
    <xf numFmtId="166" fontId="2" fillId="8" borderId="5" xfId="2" applyNumberFormat="1" applyFont="1" applyFill="1" applyBorder="1"/>
    <xf numFmtId="166" fontId="2" fillId="17" borderId="5" xfId="2" applyNumberFormat="1" applyFont="1" applyFill="1" applyBorder="1"/>
    <xf numFmtId="166" fontId="2" fillId="0" borderId="5" xfId="2" applyNumberFormat="1" applyFont="1" applyFill="1" applyBorder="1"/>
    <xf numFmtId="166" fontId="4" fillId="0" borderId="5" xfId="2" applyNumberFormat="1" applyFont="1" applyBorder="1"/>
    <xf numFmtId="166" fontId="4" fillId="0" borderId="7" xfId="2" applyNumberFormat="1" applyFont="1" applyBorder="1"/>
    <xf numFmtId="166" fontId="2" fillId="0" borderId="7" xfId="2" applyNumberFormat="1" applyFont="1" applyBorder="1"/>
    <xf numFmtId="166" fontId="2" fillId="17" borderId="7" xfId="2" applyNumberFormat="1" applyFont="1" applyFill="1" applyBorder="1"/>
    <xf numFmtId="166" fontId="7" fillId="0" borderId="7" xfId="2" applyNumberFormat="1" applyFont="1" applyFill="1" applyBorder="1"/>
    <xf numFmtId="166" fontId="4" fillId="0" borderId="7" xfId="2" applyNumberFormat="1" applyFont="1" applyFill="1" applyBorder="1"/>
    <xf numFmtId="166" fontId="2" fillId="0" borderId="7" xfId="2" applyNumberFormat="1" applyFont="1" applyFill="1" applyBorder="1"/>
    <xf numFmtId="166" fontId="2" fillId="0" borderId="0" xfId="2" applyNumberFormat="1" applyFont="1" applyFill="1" applyBorder="1"/>
    <xf numFmtId="166" fontId="4" fillId="0" borderId="0" xfId="2" applyNumberFormat="1" applyFont="1" applyFill="1" applyBorder="1"/>
    <xf numFmtId="166" fontId="7" fillId="0" borderId="0" xfId="2" applyNumberFormat="1" applyFont="1" applyFill="1" applyBorder="1"/>
    <xf numFmtId="166" fontId="2" fillId="0" borderId="0" xfId="2" applyNumberFormat="1" applyFont="1" applyFill="1"/>
    <xf numFmtId="166" fontId="2" fillId="2" borderId="5" xfId="2" applyNumberFormat="1" applyFont="1" applyFill="1" applyBorder="1"/>
    <xf numFmtId="166" fontId="2" fillId="0" borderId="5" xfId="2" applyNumberFormat="1" applyFont="1" applyBorder="1"/>
    <xf numFmtId="166" fontId="7" fillId="0" borderId="0" xfId="2" applyNumberFormat="1" applyFont="1"/>
    <xf numFmtId="166" fontId="7" fillId="0" borderId="0" xfId="2" applyNumberFormat="1" applyFont="1" applyFill="1"/>
    <xf numFmtId="166" fontId="7" fillId="0" borderId="5" xfId="2" applyNumberFormat="1" applyFont="1" applyBorder="1"/>
    <xf numFmtId="166" fontId="2" fillId="0" borderId="9" xfId="2" applyNumberFormat="1" applyFont="1" applyBorder="1"/>
    <xf numFmtId="166" fontId="2" fillId="8" borderId="8" xfId="2" applyNumberFormat="1" applyFont="1" applyFill="1" applyBorder="1"/>
    <xf numFmtId="166" fontId="2" fillId="0" borderId="8" xfId="2" applyNumberFormat="1" applyFont="1" applyFill="1" applyBorder="1"/>
    <xf numFmtId="166" fontId="2" fillId="0" borderId="8" xfId="2" applyNumberFormat="1" applyFont="1" applyBorder="1"/>
    <xf numFmtId="166" fontId="4" fillId="0" borderId="8" xfId="2" applyNumberFormat="1" applyFont="1" applyBorder="1"/>
    <xf numFmtId="166" fontId="2" fillId="16" borderId="8" xfId="2" applyNumberFormat="1" applyFont="1" applyFill="1" applyBorder="1"/>
    <xf numFmtId="166" fontId="5" fillId="8" borderId="5" xfId="2" applyNumberFormat="1" applyFont="1" applyFill="1" applyBorder="1"/>
    <xf numFmtId="166" fontId="4" fillId="0" borderId="0" xfId="2" applyNumberFormat="1" applyFont="1" applyBorder="1"/>
    <xf numFmtId="166" fontId="7" fillId="0" borderId="0" xfId="2" applyNumberFormat="1" applyFont="1" applyBorder="1"/>
    <xf numFmtId="166" fontId="4" fillId="0" borderId="0" xfId="2" applyNumberFormat="1" applyFont="1"/>
    <xf numFmtId="166" fontId="2" fillId="0" borderId="6" xfId="2" applyNumberFormat="1" applyFont="1" applyBorder="1"/>
    <xf numFmtId="166" fontId="7" fillId="0" borderId="8" xfId="2" applyNumberFormat="1" applyFont="1" applyBorder="1"/>
    <xf numFmtId="166" fontId="2" fillId="10" borderId="8" xfId="2" applyNumberFormat="1" applyFont="1" applyFill="1" applyBorder="1"/>
    <xf numFmtId="167" fontId="2" fillId="0" borderId="0" xfId="3" applyNumberFormat="1" applyFont="1"/>
    <xf numFmtId="167" fontId="2" fillId="0" borderId="5" xfId="3" applyNumberFormat="1" applyFont="1" applyFill="1" applyBorder="1"/>
    <xf numFmtId="167" fontId="2" fillId="0" borderId="7" xfId="3" applyNumberFormat="1" applyFont="1" applyFill="1" applyBorder="1"/>
    <xf numFmtId="167" fontId="2" fillId="0" borderId="0" xfId="3" applyNumberFormat="1" applyFont="1" applyFill="1" applyBorder="1"/>
    <xf numFmtId="167" fontId="2" fillId="0" borderId="0" xfId="3" applyNumberFormat="1" applyFont="1" applyBorder="1"/>
    <xf numFmtId="166" fontId="5" fillId="0" borderId="0" xfId="0" applyNumberFormat="1" applyFont="1"/>
    <xf numFmtId="166" fontId="13" fillId="0" borderId="0" xfId="0" applyNumberFormat="1" applyFont="1"/>
    <xf numFmtId="166" fontId="13" fillId="0" borderId="7" xfId="2" applyNumberFormat="1" applyFont="1" applyFill="1" applyBorder="1"/>
    <xf numFmtId="44" fontId="13" fillId="0" borderId="0" xfId="2" applyFont="1" applyBorder="1"/>
    <xf numFmtId="43" fontId="13" fillId="0" borderId="0" xfId="1" applyFont="1"/>
    <xf numFmtId="44" fontId="13" fillId="0" borderId="0" xfId="2" applyFont="1"/>
    <xf numFmtId="166" fontId="13" fillId="0" borderId="0" xfId="2" applyNumberFormat="1" applyFont="1" applyFill="1" applyBorder="1"/>
    <xf numFmtId="0" fontId="3" fillId="0" borderId="0" xfId="0" applyFont="1"/>
    <xf numFmtId="166" fontId="2" fillId="2" borderId="0" xfId="2" applyNumberFormat="1" applyFont="1" applyFill="1" applyBorder="1"/>
    <xf numFmtId="166" fontId="2" fillId="2" borderId="0" xfId="0" applyNumberFormat="1" applyFont="1" applyFill="1"/>
    <xf numFmtId="167" fontId="2" fillId="0" borderId="0" xfId="3" applyNumberFormat="1" applyFont="1" applyFill="1"/>
    <xf numFmtId="166" fontId="2" fillId="0" borderId="0" xfId="2" applyNumberFormat="1" applyFont="1" applyBorder="1"/>
    <xf numFmtId="44" fontId="2" fillId="16" borderId="0" xfId="2" applyFont="1" applyFill="1" applyBorder="1"/>
    <xf numFmtId="166" fontId="2" fillId="16" borderId="0" xfId="2" applyNumberFormat="1" applyFont="1" applyFill="1" applyBorder="1"/>
    <xf numFmtId="44" fontId="2" fillId="0" borderId="0" xfId="2" applyFont="1" applyFill="1" applyBorder="1"/>
    <xf numFmtId="44" fontId="3" fillId="0" borderId="0" xfId="2" applyFont="1" applyBorder="1"/>
    <xf numFmtId="43" fontId="3" fillId="0" borderId="0" xfId="1" applyFont="1" applyBorder="1"/>
    <xf numFmtId="44" fontId="4" fillId="0" borderId="0" xfId="2" applyFont="1" applyFill="1"/>
    <xf numFmtId="166" fontId="2" fillId="2" borderId="0" xfId="2" applyNumberFormat="1" applyFont="1" applyFill="1"/>
    <xf numFmtId="44" fontId="2" fillId="2" borderId="0" xfId="2" applyFont="1" applyFill="1" applyBorder="1"/>
    <xf numFmtId="44" fontId="2" fillId="19" borderId="0" xfId="2" applyFont="1" applyFill="1"/>
    <xf numFmtId="166" fontId="2" fillId="19" borderId="0" xfId="2" applyNumberFormat="1" applyFont="1" applyFill="1"/>
    <xf numFmtId="44" fontId="12" fillId="0" borderId="0" xfId="2" applyFont="1" applyFill="1"/>
    <xf numFmtId="166" fontId="2" fillId="2" borderId="8" xfId="2" applyNumberFormat="1" applyFont="1" applyFill="1" applyBorder="1"/>
    <xf numFmtId="166" fontId="2" fillId="15" borderId="0" xfId="2" applyNumberFormat="1" applyFont="1" applyFill="1" applyBorder="1"/>
    <xf numFmtId="166" fontId="2" fillId="15" borderId="0" xfId="0" applyNumberFormat="1" applyFont="1" applyFill="1"/>
    <xf numFmtId="166" fontId="2" fillId="16" borderId="0" xfId="0" applyNumberFormat="1" applyFont="1" applyFill="1"/>
    <xf numFmtId="44" fontId="2" fillId="20" borderId="0" xfId="2" applyFont="1" applyFill="1"/>
    <xf numFmtId="166" fontId="2" fillId="21" borderId="0" xfId="2" applyNumberFormat="1" applyFont="1" applyFill="1"/>
    <xf numFmtId="44" fontId="2" fillId="21" borderId="0" xfId="2" applyFont="1" applyFill="1"/>
    <xf numFmtId="166" fontId="5" fillId="0" borderId="0" xfId="2" applyNumberFormat="1" applyFont="1" applyFill="1" applyBorder="1"/>
    <xf numFmtId="167" fontId="5" fillId="0" borderId="0" xfId="3" applyNumberFormat="1" applyFont="1" applyFill="1" applyBorder="1"/>
    <xf numFmtId="167" fontId="5" fillId="0" borderId="0" xfId="3" applyNumberFormat="1" applyFont="1" applyFill="1"/>
    <xf numFmtId="166" fontId="5" fillId="0" borderId="0" xfId="2" applyNumberFormat="1" applyFont="1" applyFill="1"/>
    <xf numFmtId="44" fontId="5" fillId="0" borderId="0" xfId="2" applyFont="1" applyFill="1"/>
    <xf numFmtId="43" fontId="5" fillId="0" borderId="0" xfId="1" applyFont="1" applyFill="1"/>
    <xf numFmtId="44" fontId="5" fillId="0" borderId="0" xfId="2" applyFont="1" applyFill="1" applyBorder="1"/>
    <xf numFmtId="43" fontId="3" fillId="0" borderId="0" xfId="1" applyFont="1" applyFill="1"/>
    <xf numFmtId="167" fontId="2" fillId="0" borderId="4" xfId="3" applyNumberFormat="1" applyFont="1" applyFill="1" applyBorder="1"/>
    <xf numFmtId="167" fontId="2" fillId="0" borderId="9" xfId="3" applyNumberFormat="1" applyFont="1" applyFill="1" applyBorder="1"/>
    <xf numFmtId="167" fontId="2" fillId="0" borderId="8" xfId="3" applyNumberFormat="1" applyFont="1" applyFill="1" applyBorder="1"/>
    <xf numFmtId="167" fontId="2" fillId="0" borderId="6" xfId="3" applyNumberFormat="1" applyFont="1" applyFill="1" applyBorder="1"/>
    <xf numFmtId="43" fontId="2" fillId="0" borderId="4" xfId="1" applyFont="1" applyFill="1" applyBorder="1"/>
    <xf numFmtId="43" fontId="2" fillId="0" borderId="7" xfId="1" applyFont="1" applyFill="1" applyBorder="1"/>
    <xf numFmtId="43" fontId="2" fillId="0" borderId="8" xfId="1" applyFont="1" applyFill="1" applyBorder="1"/>
    <xf numFmtId="43" fontId="2" fillId="0" borderId="9" xfId="1" applyFont="1" applyFill="1" applyBorder="1"/>
    <xf numFmtId="43" fontId="2" fillId="0" borderId="6" xfId="1" applyFont="1" applyFill="1" applyBorder="1"/>
    <xf numFmtId="43" fontId="2" fillId="2" borderId="0" xfId="1" applyFont="1" applyFill="1"/>
    <xf numFmtId="44" fontId="2" fillId="15" borderId="0" xfId="2" applyFont="1" applyFill="1" applyBorder="1"/>
    <xf numFmtId="166" fontId="2" fillId="15" borderId="5" xfId="2" applyNumberFormat="1" applyFont="1" applyFill="1" applyBorder="1"/>
    <xf numFmtId="166" fontId="2" fillId="15" borderId="8" xfId="2" applyNumberFormat="1" applyFont="1" applyFill="1" applyBorder="1"/>
    <xf numFmtId="44" fontId="2" fillId="22" borderId="0" xfId="2" applyFont="1" applyFill="1"/>
    <xf numFmtId="166" fontId="2" fillId="16" borderId="0" xfId="2" applyNumberFormat="1" applyFont="1" applyFill="1"/>
    <xf numFmtId="43" fontId="2" fillId="16" borderId="0" xfId="1" applyFont="1" applyFill="1"/>
    <xf numFmtId="44" fontId="2" fillId="23" borderId="0" xfId="2" applyFont="1" applyFill="1"/>
    <xf numFmtId="44" fontId="2" fillId="23" borderId="0" xfId="2" applyFont="1" applyFill="1" applyBorder="1"/>
    <xf numFmtId="15" fontId="2" fillId="0" borderId="0" xfId="1" applyNumberFormat="1" applyFont="1"/>
    <xf numFmtId="44" fontId="2" fillId="24" borderId="0" xfId="2" applyFont="1" applyFill="1"/>
    <xf numFmtId="44" fontId="2" fillId="24" borderId="0" xfId="2" applyFont="1" applyFill="1" applyBorder="1"/>
    <xf numFmtId="166" fontId="2" fillId="15" borderId="0" xfId="2" applyNumberFormat="1" applyFont="1" applyFill="1"/>
    <xf numFmtId="44" fontId="12" fillId="8" borderId="0" xfId="2" applyFont="1" applyFill="1"/>
    <xf numFmtId="44" fontId="5" fillId="8" borderId="0" xfId="2" applyFont="1" applyFill="1"/>
    <xf numFmtId="44" fontId="2" fillId="12" borderId="0" xfId="2" applyFont="1" applyFill="1" applyBorder="1"/>
    <xf numFmtId="166" fontId="2" fillId="20" borderId="5" xfId="2" applyNumberFormat="1" applyFont="1" applyFill="1" applyBorder="1"/>
    <xf numFmtId="166" fontId="2" fillId="20" borderId="0" xfId="2" applyNumberFormat="1" applyFont="1" applyFill="1" applyBorder="1"/>
    <xf numFmtId="44" fontId="2" fillId="25" borderId="0" xfId="2" applyFont="1" applyFill="1"/>
    <xf numFmtId="44" fontId="2" fillId="25" borderId="0" xfId="2" applyFont="1" applyFill="1" applyBorder="1"/>
    <xf numFmtId="44" fontId="2" fillId="26" borderId="0" xfId="2" applyFont="1" applyFill="1"/>
    <xf numFmtId="44" fontId="2" fillId="26" borderId="0" xfId="2" applyFont="1" applyFill="1" applyBorder="1"/>
    <xf numFmtId="43" fontId="5" fillId="0" borderId="0" xfId="1" applyFont="1" applyFill="1" applyBorder="1"/>
    <xf numFmtId="166" fontId="5" fillId="0" borderId="0" xfId="2" applyNumberFormat="1" applyFont="1" applyBorder="1"/>
    <xf numFmtId="166" fontId="5" fillId="27" borderId="0" xfId="2" applyNumberFormat="1" applyFont="1" applyFill="1" applyBorder="1"/>
    <xf numFmtId="44" fontId="5" fillId="27" borderId="0" xfId="2" applyFont="1" applyFill="1"/>
    <xf numFmtId="44" fontId="5" fillId="16" borderId="0" xfId="2" applyFont="1" applyFill="1"/>
    <xf numFmtId="166" fontId="5" fillId="27" borderId="8" xfId="2" applyNumberFormat="1" applyFont="1" applyFill="1" applyBorder="1"/>
    <xf numFmtId="15" fontId="5" fillId="0" borderId="0" xfId="0" applyNumberFormat="1" applyFont="1"/>
    <xf numFmtId="44" fontId="5" fillId="2" borderId="0" xfId="2" applyFont="1" applyFill="1" applyBorder="1"/>
    <xf numFmtId="166" fontId="5" fillId="2" borderId="0" xfId="2" applyNumberFormat="1" applyFont="1" applyFill="1" applyBorder="1"/>
    <xf numFmtId="44" fontId="5" fillId="15" borderId="0" xfId="2" applyFont="1" applyFill="1" applyBorder="1"/>
    <xf numFmtId="44" fontId="5" fillId="16" borderId="0" xfId="2" applyFont="1" applyFill="1" applyBorder="1"/>
    <xf numFmtId="44" fontId="5" fillId="24" borderId="0" xfId="2" applyFont="1" applyFill="1"/>
    <xf numFmtId="166" fontId="2" fillId="20" borderId="0" xfId="2" applyNumberFormat="1" applyFont="1" applyFill="1"/>
    <xf numFmtId="44" fontId="2" fillId="28" borderId="0" xfId="2" applyFont="1" applyFill="1"/>
    <xf numFmtId="44" fontId="5" fillId="28" borderId="0" xfId="2" applyFont="1" applyFill="1"/>
    <xf numFmtId="166" fontId="2" fillId="29" borderId="8" xfId="2" applyNumberFormat="1" applyFont="1" applyFill="1" applyBorder="1"/>
    <xf numFmtId="44" fontId="2" fillId="29" borderId="5" xfId="2" applyFont="1" applyFill="1" applyBorder="1"/>
    <xf numFmtId="166" fontId="5" fillId="11" borderId="0" xfId="2" applyNumberFormat="1" applyFont="1" applyFill="1"/>
    <xf numFmtId="166" fontId="2" fillId="11" borderId="0" xfId="2" applyNumberFormat="1" applyFont="1" applyFill="1"/>
    <xf numFmtId="44" fontId="3" fillId="0" borderId="1" xfId="2" applyFont="1" applyBorder="1" applyAlignment="1">
      <alignment horizontal="center"/>
    </xf>
    <xf numFmtId="44" fontId="3" fillId="0" borderId="2" xfId="2" applyFont="1" applyBorder="1" applyAlignment="1">
      <alignment horizontal="center"/>
    </xf>
    <xf numFmtId="44" fontId="3" fillId="0" borderId="3" xfId="2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3" fontId="2" fillId="0" borderId="6" xfId="1" applyFont="1" applyBorder="1"/>
  </cellXfs>
  <cellStyles count="4">
    <cellStyle name="Comma" xfId="1" builtinId="3"/>
    <cellStyle name="Comma [0]" xfId="3" builtinId="6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CCECFF"/>
      <color rgb="FFFF66FF"/>
      <color rgb="FFCC99FF"/>
      <color rgb="FF006600"/>
      <color rgb="FFFFCC66"/>
      <color rgb="FF66FF99"/>
      <color rgb="FF99FFCC"/>
      <color rgb="FFFF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67"/>
  <sheetViews>
    <sheetView zoomScaleNormal="100" workbookViewId="0">
      <pane ySplit="5" topLeftCell="A262" activePane="bottomLeft" state="frozen"/>
      <selection pane="bottomLeft" activeCell="C270" sqref="C270"/>
    </sheetView>
  </sheetViews>
  <sheetFormatPr defaultRowHeight="15" customHeight="1" x14ac:dyDescent="0.2"/>
  <cols>
    <col min="1" max="1" width="12.7109375" style="2" customWidth="1"/>
    <col min="2" max="2" width="4.5703125" style="2" hidden="1" customWidth="1"/>
    <col min="3" max="3" width="40.7109375" style="1" customWidth="1"/>
    <col min="4" max="4" width="15.7109375" style="3" customWidth="1"/>
    <col min="5" max="5" width="20.7109375" style="32" customWidth="1"/>
    <col min="6" max="6" width="17.42578125" style="3" customWidth="1"/>
    <col min="7" max="7" width="20.7109375" style="32" customWidth="1"/>
    <col min="8" max="8" width="15.7109375" style="3" customWidth="1"/>
    <col min="9" max="9" width="20.7109375" style="4" customWidth="1"/>
    <col min="10" max="10" width="11" style="1" bestFit="1" customWidth="1"/>
    <col min="11" max="16384" width="9.140625" style="1"/>
  </cols>
  <sheetData>
    <row r="1" spans="1:9" ht="15" customHeight="1" x14ac:dyDescent="0.2">
      <c r="A1" s="5" t="s">
        <v>0</v>
      </c>
      <c r="B1" s="5"/>
    </row>
    <row r="2" spans="1:9" ht="15" customHeight="1" x14ac:dyDescent="0.2">
      <c r="A2" s="5" t="s">
        <v>1</v>
      </c>
      <c r="B2" s="5"/>
    </row>
    <row r="3" spans="1:9" ht="15" customHeight="1" x14ac:dyDescent="0.2">
      <c r="A3" s="5" t="s">
        <v>160</v>
      </c>
      <c r="B3" s="5"/>
    </row>
    <row r="5" spans="1:9" ht="15" customHeight="1" x14ac:dyDescent="0.2">
      <c r="A5" s="9" t="s">
        <v>3</v>
      </c>
      <c r="B5" s="9"/>
      <c r="C5" s="8" t="s">
        <v>5</v>
      </c>
      <c r="D5" s="231" t="s">
        <v>6</v>
      </c>
      <c r="E5" s="232"/>
      <c r="F5" s="231" t="s">
        <v>7</v>
      </c>
      <c r="G5" s="232"/>
      <c r="H5" s="230" t="s">
        <v>8</v>
      </c>
      <c r="I5" s="230"/>
    </row>
    <row r="6" spans="1:9" ht="15" customHeight="1" x14ac:dyDescent="0.2">
      <c r="C6" s="1" t="s">
        <v>13</v>
      </c>
      <c r="H6" s="3">
        <v>484647.31000000041</v>
      </c>
      <c r="I6" s="4">
        <v>7691065078.6200113</v>
      </c>
    </row>
    <row r="7" spans="1:9" ht="15" customHeight="1" x14ac:dyDescent="0.2">
      <c r="A7" s="2">
        <v>44928</v>
      </c>
      <c r="C7" s="1" t="s">
        <v>137</v>
      </c>
      <c r="F7" s="3">
        <v>268285.40999999997</v>
      </c>
      <c r="G7" s="32">
        <v>4076865090.3600001</v>
      </c>
      <c r="H7" s="3">
        <f>+H6+D7-F7</f>
        <v>216361.90000000043</v>
      </c>
      <c r="I7" s="4">
        <f>+I6+E7-G7</f>
        <v>3614199988.2600112</v>
      </c>
    </row>
    <row r="8" spans="1:9" ht="15" customHeight="1" x14ac:dyDescent="0.2">
      <c r="A8" s="2">
        <v>44939</v>
      </c>
      <c r="C8" s="1" t="s">
        <v>40</v>
      </c>
      <c r="D8" s="72">
        <v>131309.29999999999</v>
      </c>
      <c r="E8" s="32">
        <v>2049081626.5</v>
      </c>
      <c r="H8" s="3">
        <f>+H7+D8-F8</f>
        <v>347671.20000000042</v>
      </c>
      <c r="I8" s="4">
        <f>+I7+E8-G8</f>
        <v>5663281614.7600117</v>
      </c>
    </row>
    <row r="9" spans="1:9" ht="15" customHeight="1" x14ac:dyDescent="0.2">
      <c r="A9" s="2">
        <v>44943</v>
      </c>
      <c r="C9" s="1" t="s">
        <v>16</v>
      </c>
      <c r="D9" s="16">
        <v>179050.2</v>
      </c>
      <c r="E9" s="32">
        <v>2794078371</v>
      </c>
      <c r="H9" s="3">
        <f t="shared" ref="H9:H44" si="0">+H8+D9-F9</f>
        <v>526721.40000000037</v>
      </c>
      <c r="I9" s="4">
        <f t="shared" ref="I9:I45" si="1">+I8+E9-G9</f>
        <v>8457359985.7600117</v>
      </c>
    </row>
    <row r="10" spans="1:9" ht="15" customHeight="1" x14ac:dyDescent="0.2">
      <c r="A10" s="2">
        <v>44944</v>
      </c>
      <c r="C10" s="1" t="s">
        <v>40</v>
      </c>
      <c r="D10" s="72">
        <v>135295.10999999999</v>
      </c>
      <c r="E10" s="32">
        <v>2089903564.1700001</v>
      </c>
      <c r="H10" s="3">
        <f t="shared" si="0"/>
        <v>662016.51000000036</v>
      </c>
      <c r="I10" s="4">
        <f t="shared" si="1"/>
        <v>10547263549.930012</v>
      </c>
    </row>
    <row r="11" spans="1:9" ht="15" customHeight="1" x14ac:dyDescent="0.2">
      <c r="A11" s="2">
        <v>44946</v>
      </c>
      <c r="C11" s="1" t="s">
        <v>32</v>
      </c>
      <c r="D11" s="39">
        <v>72921.350000000006</v>
      </c>
      <c r="E11" s="32">
        <v>1126416093.45</v>
      </c>
      <c r="H11" s="3">
        <f t="shared" si="0"/>
        <v>734937.86000000034</v>
      </c>
      <c r="I11" s="4">
        <f t="shared" si="1"/>
        <v>11673679643.380013</v>
      </c>
    </row>
    <row r="12" spans="1:9" ht="15" customHeight="1" x14ac:dyDescent="0.2">
      <c r="A12" s="2">
        <v>44946</v>
      </c>
      <c r="C12" s="1" t="s">
        <v>32</v>
      </c>
      <c r="D12" s="39">
        <v>72537.850000000006</v>
      </c>
      <c r="E12" s="32">
        <v>1120492168.95</v>
      </c>
      <c r="H12" s="3">
        <f t="shared" si="0"/>
        <v>807475.71000000031</v>
      </c>
      <c r="I12" s="4">
        <f t="shared" si="1"/>
        <v>12794171812.330013</v>
      </c>
    </row>
    <row r="13" spans="1:9" ht="15" customHeight="1" x14ac:dyDescent="0.2">
      <c r="A13" s="2">
        <v>44946</v>
      </c>
      <c r="C13" s="1" t="s">
        <v>32</v>
      </c>
      <c r="D13" s="39">
        <v>72768.55</v>
      </c>
      <c r="E13" s="32">
        <v>1124055791.8499999</v>
      </c>
      <c r="H13" s="3">
        <f t="shared" si="0"/>
        <v>880244.26000000036</v>
      </c>
      <c r="I13" s="4">
        <f t="shared" si="1"/>
        <v>13918227604.180014</v>
      </c>
    </row>
    <row r="14" spans="1:9" ht="15" customHeight="1" x14ac:dyDescent="0.2">
      <c r="A14" s="2">
        <v>44946</v>
      </c>
      <c r="C14" s="1" t="s">
        <v>55</v>
      </c>
      <c r="D14" s="66">
        <v>240842.39</v>
      </c>
      <c r="E14" s="32">
        <v>3720292398.3299999</v>
      </c>
      <c r="H14" s="3">
        <f t="shared" si="0"/>
        <v>1121086.6500000004</v>
      </c>
      <c r="I14" s="4">
        <f t="shared" si="1"/>
        <v>17638520002.510014</v>
      </c>
    </row>
    <row r="15" spans="1:9" ht="15" customHeight="1" x14ac:dyDescent="0.2">
      <c r="A15" s="2">
        <v>44946</v>
      </c>
      <c r="C15" s="1" t="s">
        <v>32</v>
      </c>
      <c r="D15" s="39">
        <v>73049.570000000007</v>
      </c>
      <c r="E15" s="32">
        <v>1128396707.79</v>
      </c>
      <c r="H15" s="3">
        <f t="shared" si="0"/>
        <v>1194136.2200000004</v>
      </c>
      <c r="I15" s="4">
        <f t="shared" si="1"/>
        <v>18766916710.300014</v>
      </c>
    </row>
    <row r="16" spans="1:9" ht="15" customHeight="1" x14ac:dyDescent="0.2">
      <c r="A16" s="2">
        <v>44951</v>
      </c>
      <c r="C16" s="1" t="s">
        <v>16</v>
      </c>
      <c r="D16" s="16">
        <v>168632.75</v>
      </c>
      <c r="E16" s="32">
        <v>2547872219.75</v>
      </c>
      <c r="H16" s="3">
        <f t="shared" si="0"/>
        <v>1362768.9700000004</v>
      </c>
      <c r="I16" s="4">
        <f t="shared" si="1"/>
        <v>21314788930.050014</v>
      </c>
    </row>
    <row r="17" spans="1:9" ht="15" customHeight="1" x14ac:dyDescent="0.2">
      <c r="A17" s="2">
        <v>44956</v>
      </c>
      <c r="C17" s="1" t="s">
        <v>81</v>
      </c>
      <c r="D17" s="71">
        <v>135918.88</v>
      </c>
      <c r="E17" s="32">
        <v>2053598357.9200001</v>
      </c>
      <c r="H17" s="3">
        <f t="shared" si="0"/>
        <v>1498687.8500000006</v>
      </c>
      <c r="I17" s="4">
        <f t="shared" si="1"/>
        <v>23368387287.970016</v>
      </c>
    </row>
    <row r="18" spans="1:9" ht="15" customHeight="1" x14ac:dyDescent="0.2">
      <c r="A18" s="2">
        <v>44936</v>
      </c>
      <c r="C18" s="1" t="s">
        <v>138</v>
      </c>
      <c r="F18" s="16">
        <v>347645.95</v>
      </c>
      <c r="G18" s="32">
        <v>5414238025.3000002</v>
      </c>
      <c r="H18" s="3">
        <f t="shared" si="0"/>
        <v>1151041.9000000006</v>
      </c>
      <c r="I18" s="4">
        <f t="shared" si="1"/>
        <v>17954149262.670017</v>
      </c>
    </row>
    <row r="19" spans="1:9" ht="15" customHeight="1" x14ac:dyDescent="0.2">
      <c r="A19" s="2">
        <v>44936</v>
      </c>
      <c r="C19" s="1" t="s">
        <v>17</v>
      </c>
      <c r="F19" s="16">
        <v>37</v>
      </c>
      <c r="G19" s="32">
        <v>576238</v>
      </c>
      <c r="H19" s="3">
        <f t="shared" si="0"/>
        <v>1151004.9000000006</v>
      </c>
      <c r="I19" s="4">
        <f t="shared" si="1"/>
        <v>17953573024.670017</v>
      </c>
    </row>
    <row r="20" spans="1:9" ht="15" customHeight="1" x14ac:dyDescent="0.2">
      <c r="A20" s="2">
        <v>44936</v>
      </c>
      <c r="C20" s="1" t="s">
        <v>139</v>
      </c>
      <c r="F20" s="72">
        <v>111279.3</v>
      </c>
      <c r="G20" s="32">
        <v>1733063818.2</v>
      </c>
      <c r="H20" s="3">
        <f t="shared" si="0"/>
        <v>1039725.6000000006</v>
      </c>
      <c r="I20" s="4">
        <f t="shared" si="1"/>
        <v>16220509206.470016</v>
      </c>
    </row>
    <row r="21" spans="1:9" ht="15" customHeight="1" x14ac:dyDescent="0.2">
      <c r="A21" s="2">
        <v>44936</v>
      </c>
      <c r="C21" s="1" t="s">
        <v>17</v>
      </c>
      <c r="F21" s="72">
        <v>30</v>
      </c>
      <c r="G21" s="32">
        <v>467220</v>
      </c>
      <c r="H21" s="3">
        <f t="shared" si="0"/>
        <v>1039695.6000000006</v>
      </c>
      <c r="I21" s="4">
        <f t="shared" si="1"/>
        <v>16220041986.470016</v>
      </c>
    </row>
    <row r="22" spans="1:9" ht="15" customHeight="1" x14ac:dyDescent="0.2">
      <c r="A22" s="2">
        <v>10</v>
      </c>
      <c r="C22" s="1" t="s">
        <v>137</v>
      </c>
      <c r="F22" s="72">
        <f>10000+10000</f>
        <v>20000</v>
      </c>
      <c r="G22" s="32">
        <f>150110000+157010000</f>
        <v>307120000</v>
      </c>
      <c r="H22" s="3">
        <f t="shared" si="0"/>
        <v>1019695.6000000006</v>
      </c>
      <c r="I22" s="4">
        <f t="shared" si="1"/>
        <v>15912921986.470016</v>
      </c>
    </row>
    <row r="23" spans="1:9" ht="15" customHeight="1" x14ac:dyDescent="0.2">
      <c r="A23" s="2">
        <v>44938</v>
      </c>
      <c r="C23" s="1" t="s">
        <v>140</v>
      </c>
      <c r="F23" s="66">
        <v>191260.99</v>
      </c>
      <c r="G23" s="32">
        <v>2969709391.73</v>
      </c>
      <c r="H23" s="3">
        <f t="shared" si="0"/>
        <v>828434.61000000057</v>
      </c>
      <c r="I23" s="4">
        <f t="shared" si="1"/>
        <v>12943212594.740017</v>
      </c>
    </row>
    <row r="24" spans="1:9" ht="15" customHeight="1" x14ac:dyDescent="0.2">
      <c r="A24" s="2">
        <v>44938</v>
      </c>
      <c r="C24" s="1" t="s">
        <v>17</v>
      </c>
      <c r="F24" s="66">
        <v>55</v>
      </c>
      <c r="G24" s="32">
        <v>853985</v>
      </c>
      <c r="H24" s="3">
        <f t="shared" si="0"/>
        <v>828379.61000000057</v>
      </c>
      <c r="I24" s="4">
        <f t="shared" si="1"/>
        <v>12942358609.740017</v>
      </c>
    </row>
    <row r="25" spans="1:9" ht="15" customHeight="1" x14ac:dyDescent="0.2">
      <c r="A25" s="2">
        <v>44938</v>
      </c>
      <c r="C25" s="1" t="s">
        <v>137</v>
      </c>
      <c r="F25" s="66">
        <v>49526.400000000001</v>
      </c>
      <c r="G25" s="32">
        <v>736705695.26400006</v>
      </c>
      <c r="H25" s="3">
        <f t="shared" si="0"/>
        <v>778853.21000000054</v>
      </c>
      <c r="I25" s="4">
        <f t="shared" si="1"/>
        <v>12205652914.476017</v>
      </c>
    </row>
    <row r="26" spans="1:9" ht="15" customHeight="1" x14ac:dyDescent="0.2">
      <c r="A26" s="2">
        <v>44939</v>
      </c>
      <c r="C26" s="1" t="s">
        <v>141</v>
      </c>
      <c r="F26" s="71">
        <v>135843.88</v>
      </c>
      <c r="G26" s="32">
        <v>2087377060.0799999</v>
      </c>
      <c r="H26" s="3">
        <f t="shared" si="0"/>
        <v>643009.33000000054</v>
      </c>
      <c r="I26" s="4">
        <f t="shared" si="1"/>
        <v>10118275854.396017</v>
      </c>
    </row>
    <row r="27" spans="1:9" ht="15" customHeight="1" x14ac:dyDescent="0.2">
      <c r="A27" s="2">
        <v>44939</v>
      </c>
      <c r="C27" s="1" t="s">
        <v>17</v>
      </c>
      <c r="F27" s="71">
        <v>75</v>
      </c>
      <c r="G27" s="32">
        <v>1152450</v>
      </c>
      <c r="H27" s="3">
        <f t="shared" si="0"/>
        <v>642934.33000000054</v>
      </c>
      <c r="I27" s="4">
        <f t="shared" si="1"/>
        <v>10117123404.396017</v>
      </c>
    </row>
    <row r="28" spans="1:9" ht="15" customHeight="1" x14ac:dyDescent="0.2">
      <c r="A28" s="2">
        <v>44943</v>
      </c>
      <c r="C28" s="1" t="s">
        <v>142</v>
      </c>
      <c r="F28" s="39">
        <v>58006.55</v>
      </c>
      <c r="G28" s="32">
        <v>871200374.45000005</v>
      </c>
      <c r="H28" s="3">
        <f t="shared" si="0"/>
        <v>584927.78000000049</v>
      </c>
      <c r="I28" s="4">
        <f t="shared" si="1"/>
        <v>9245923029.9460163</v>
      </c>
    </row>
    <row r="29" spans="1:9" ht="15" customHeight="1" x14ac:dyDescent="0.2">
      <c r="A29" s="2">
        <v>44943</v>
      </c>
      <c r="C29" s="1" t="s">
        <v>17</v>
      </c>
      <c r="F29" s="39">
        <v>42</v>
      </c>
      <c r="G29" s="32">
        <v>630798</v>
      </c>
      <c r="H29" s="3">
        <f t="shared" si="0"/>
        <v>584885.78000000049</v>
      </c>
      <c r="I29" s="4">
        <f t="shared" si="1"/>
        <v>9245292231.9460163</v>
      </c>
    </row>
    <row r="30" spans="1:9" ht="15" customHeight="1" x14ac:dyDescent="0.2">
      <c r="A30" s="2">
        <v>44943</v>
      </c>
      <c r="C30" s="1" t="s">
        <v>137</v>
      </c>
      <c r="F30" s="39">
        <v>14720</v>
      </c>
      <c r="G30" s="32">
        <v>229573120</v>
      </c>
      <c r="H30" s="3">
        <f t="shared" si="0"/>
        <v>570165.78000000049</v>
      </c>
      <c r="I30" s="4">
        <f t="shared" si="1"/>
        <v>9015719111.9460163</v>
      </c>
    </row>
    <row r="31" spans="1:9" ht="15" customHeight="1" x14ac:dyDescent="0.2">
      <c r="A31" s="2">
        <v>44944</v>
      </c>
      <c r="C31" s="1" t="s">
        <v>144</v>
      </c>
      <c r="F31" s="39">
        <v>57775.85</v>
      </c>
      <c r="G31" s="32">
        <v>875535230.89999998</v>
      </c>
      <c r="H31" s="3">
        <f t="shared" si="0"/>
        <v>512389.93000000052</v>
      </c>
      <c r="I31" s="4">
        <f t="shared" si="1"/>
        <v>8140183881.0460167</v>
      </c>
    </row>
    <row r="32" spans="1:9" ht="15" customHeight="1" x14ac:dyDescent="0.2">
      <c r="A32" s="2">
        <v>44944</v>
      </c>
      <c r="C32" s="1" t="s">
        <v>17</v>
      </c>
      <c r="F32" s="39">
        <v>42</v>
      </c>
      <c r="G32" s="32">
        <v>636468</v>
      </c>
      <c r="H32" s="3">
        <f t="shared" si="0"/>
        <v>512347.93000000052</v>
      </c>
      <c r="I32" s="4">
        <f t="shared" si="1"/>
        <v>8139547413.0460167</v>
      </c>
    </row>
    <row r="33" spans="1:9" ht="15" customHeight="1" x14ac:dyDescent="0.2">
      <c r="A33" s="2">
        <v>44944</v>
      </c>
      <c r="C33" s="1" t="s">
        <v>137</v>
      </c>
      <c r="F33" s="39">
        <v>14720</v>
      </c>
      <c r="G33" s="32">
        <v>229573120</v>
      </c>
      <c r="H33" s="3">
        <f t="shared" si="0"/>
        <v>497627.93000000052</v>
      </c>
      <c r="I33" s="4">
        <f t="shared" si="1"/>
        <v>7909974293.0460167</v>
      </c>
    </row>
    <row r="34" spans="1:9" ht="15" customHeight="1" x14ac:dyDescent="0.2">
      <c r="A34" s="2">
        <v>44944</v>
      </c>
      <c r="C34" s="1" t="s">
        <v>143</v>
      </c>
      <c r="F34" s="39">
        <v>57887.57</v>
      </c>
      <c r="G34" s="32">
        <v>877228235.77999997</v>
      </c>
      <c r="H34" s="3">
        <f t="shared" si="0"/>
        <v>439740.36000000051</v>
      </c>
      <c r="I34" s="4">
        <f t="shared" si="1"/>
        <v>7032746057.266017</v>
      </c>
    </row>
    <row r="35" spans="1:9" ht="15" customHeight="1" x14ac:dyDescent="0.2">
      <c r="A35" s="2">
        <v>44944</v>
      </c>
      <c r="C35" s="1" t="s">
        <v>17</v>
      </c>
      <c r="F35" s="39">
        <v>42</v>
      </c>
      <c r="G35" s="32">
        <v>636468</v>
      </c>
      <c r="H35" s="3">
        <f t="shared" si="0"/>
        <v>439698.36000000051</v>
      </c>
      <c r="I35" s="4">
        <f t="shared" si="1"/>
        <v>7032109589.266017</v>
      </c>
    </row>
    <row r="36" spans="1:9" ht="15" customHeight="1" x14ac:dyDescent="0.2">
      <c r="A36" s="2">
        <v>44944</v>
      </c>
      <c r="C36" s="1" t="s">
        <v>137</v>
      </c>
      <c r="F36" s="39">
        <v>15120</v>
      </c>
      <c r="G36" s="32">
        <v>235811520</v>
      </c>
      <c r="H36" s="3">
        <f t="shared" si="0"/>
        <v>424578.36000000051</v>
      </c>
      <c r="I36" s="4">
        <f t="shared" si="1"/>
        <v>6796298069.266017</v>
      </c>
    </row>
    <row r="37" spans="1:9" ht="15" customHeight="1" x14ac:dyDescent="0.2">
      <c r="A37" s="2">
        <v>44945</v>
      </c>
      <c r="C37" s="1" t="s">
        <v>145</v>
      </c>
      <c r="F37" s="72">
        <v>105676.31</v>
      </c>
      <c r="G37" s="32">
        <v>1599622304.47</v>
      </c>
      <c r="H37" s="3">
        <f t="shared" si="0"/>
        <v>318902.05000000051</v>
      </c>
      <c r="I37" s="4">
        <f t="shared" si="1"/>
        <v>5196675764.7960167</v>
      </c>
    </row>
    <row r="38" spans="1:9" ht="15" customHeight="1" x14ac:dyDescent="0.2">
      <c r="A38" s="2">
        <v>44945</v>
      </c>
      <c r="C38" s="1" t="s">
        <v>17</v>
      </c>
      <c r="F38" s="72">
        <v>30</v>
      </c>
      <c r="G38" s="32">
        <v>454110</v>
      </c>
      <c r="H38" s="3">
        <f t="shared" si="0"/>
        <v>318872.05000000051</v>
      </c>
      <c r="I38" s="4">
        <f t="shared" si="1"/>
        <v>5196221654.7960167</v>
      </c>
    </row>
    <row r="39" spans="1:9" ht="15" customHeight="1" x14ac:dyDescent="0.2">
      <c r="A39" s="2">
        <v>44945</v>
      </c>
      <c r="C39" s="1" t="s">
        <v>137</v>
      </c>
      <c r="F39" s="72">
        <v>29588.799999999999</v>
      </c>
      <c r="G39" s="32">
        <v>464573748.80000001</v>
      </c>
      <c r="H39" s="3">
        <f t="shared" si="0"/>
        <v>289283.25000000052</v>
      </c>
      <c r="I39" s="4">
        <f t="shared" si="1"/>
        <v>4731647905.9960165</v>
      </c>
    </row>
    <row r="40" spans="1:9" ht="15" customHeight="1" x14ac:dyDescent="0.2">
      <c r="A40" s="2">
        <v>44946</v>
      </c>
      <c r="C40" s="1" t="s">
        <v>146</v>
      </c>
      <c r="F40" s="39">
        <v>57707.35</v>
      </c>
      <c r="G40" s="32">
        <v>872131180.54999995</v>
      </c>
      <c r="H40" s="3">
        <f t="shared" si="0"/>
        <v>231575.90000000052</v>
      </c>
      <c r="I40" s="4">
        <f t="shared" si="1"/>
        <v>3859516725.4460163</v>
      </c>
    </row>
    <row r="41" spans="1:9" ht="15" customHeight="1" x14ac:dyDescent="0.2">
      <c r="A41" s="2">
        <v>44946</v>
      </c>
      <c r="C41" s="1" t="s">
        <v>17</v>
      </c>
      <c r="F41" s="39">
        <v>42</v>
      </c>
      <c r="G41" s="32">
        <v>634746</v>
      </c>
      <c r="H41" s="3">
        <f t="shared" si="0"/>
        <v>231533.90000000052</v>
      </c>
      <c r="I41" s="4">
        <f t="shared" si="1"/>
        <v>3858881979.4460163</v>
      </c>
    </row>
    <row r="42" spans="1:9" ht="15" customHeight="1" x14ac:dyDescent="0.2">
      <c r="A42" s="2">
        <v>44946</v>
      </c>
      <c r="C42" s="1" t="s">
        <v>137</v>
      </c>
      <c r="F42" s="39">
        <v>15172</v>
      </c>
      <c r="G42" s="32">
        <v>235059796</v>
      </c>
      <c r="H42" s="3">
        <f t="shared" si="0"/>
        <v>216361.90000000052</v>
      </c>
      <c r="I42" s="4">
        <f t="shared" si="1"/>
        <v>3623822183.4460163</v>
      </c>
    </row>
    <row r="43" spans="1:9" ht="15" customHeight="1" x14ac:dyDescent="0.2">
      <c r="A43" s="2">
        <v>44957</v>
      </c>
      <c r="C43" s="1" t="s">
        <v>147</v>
      </c>
      <c r="F43" s="14">
        <v>201609.21</v>
      </c>
      <c r="G43" s="32">
        <v>3019904356.5900002</v>
      </c>
      <c r="H43" s="3">
        <f t="shared" si="0"/>
        <v>14752.690000000526</v>
      </c>
      <c r="I43" s="4">
        <f t="shared" si="1"/>
        <v>603917826.85601616</v>
      </c>
    </row>
    <row r="44" spans="1:9" ht="15" customHeight="1" x14ac:dyDescent="0.2">
      <c r="A44" s="2">
        <v>44957</v>
      </c>
      <c r="C44" s="1" t="s">
        <v>17</v>
      </c>
      <c r="F44" s="14">
        <v>75</v>
      </c>
      <c r="G44" s="32">
        <v>1123425</v>
      </c>
      <c r="H44" s="3">
        <f t="shared" si="0"/>
        <v>14677.690000000526</v>
      </c>
      <c r="I44" s="4">
        <f t="shared" si="1"/>
        <v>602794401.85601616</v>
      </c>
    </row>
    <row r="45" spans="1:9" ht="15" customHeight="1" x14ac:dyDescent="0.2">
      <c r="A45" s="2">
        <v>44957</v>
      </c>
      <c r="C45" s="1" t="s">
        <v>18</v>
      </c>
      <c r="F45" s="17"/>
      <c r="G45" s="32">
        <v>9622195.1899999995</v>
      </c>
      <c r="H45" s="6">
        <f>+H44+D45-F45</f>
        <v>14677.690000000526</v>
      </c>
      <c r="I45" s="7">
        <f t="shared" si="1"/>
        <v>593172206.6660161</v>
      </c>
    </row>
    <row r="46" spans="1:9" ht="15" customHeight="1" x14ac:dyDescent="0.2">
      <c r="A46" s="1"/>
      <c r="B46" s="1"/>
      <c r="D46" s="1"/>
      <c r="E46" s="1"/>
      <c r="F46" s="1"/>
      <c r="G46" s="1"/>
      <c r="H46" s="3">
        <f>+H45+D7-F7</f>
        <v>-253607.71999999945</v>
      </c>
      <c r="I46" s="4">
        <f>+I45+E7-G7</f>
        <v>-3483692883.693984</v>
      </c>
    </row>
    <row r="47" spans="1:9" ht="15" customHeight="1" x14ac:dyDescent="0.2">
      <c r="H47" s="3">
        <f>+H45+UM!H239</f>
        <v>-1403165.4099999997</v>
      </c>
      <c r="I47" s="4">
        <f>+I45+UM!I239</f>
        <v>-21155823924.349995</v>
      </c>
    </row>
    <row r="48" spans="1:9" ht="15" customHeight="1" x14ac:dyDescent="0.2">
      <c r="H48" s="3">
        <f>+H47-H49</f>
        <v>-268285.41000000015</v>
      </c>
      <c r="I48" s="4">
        <f>+I47-I49</f>
        <v>-4076865090.3577919</v>
      </c>
    </row>
    <row r="49" spans="1:9" ht="15" customHeight="1" x14ac:dyDescent="0.2">
      <c r="H49" s="3">
        <v>-1134879.9999999995</v>
      </c>
      <c r="I49" s="4">
        <v>-17078958833.992203</v>
      </c>
    </row>
    <row r="51" spans="1:9" ht="15" customHeight="1" x14ac:dyDescent="0.2">
      <c r="A51" s="2">
        <v>44959</v>
      </c>
      <c r="C51" s="1" t="s">
        <v>40</v>
      </c>
      <c r="D51" s="14">
        <v>197662.88</v>
      </c>
      <c r="E51" s="32">
        <v>2956641359.04</v>
      </c>
      <c r="H51" s="3">
        <f>+H45+D51-F51</f>
        <v>212340.57000000053</v>
      </c>
      <c r="I51" s="4">
        <f>+I45+E51-G51</f>
        <v>3549813565.7060161</v>
      </c>
    </row>
    <row r="52" spans="1:9" ht="15" customHeight="1" x14ac:dyDescent="0.2">
      <c r="A52" s="2">
        <v>44963</v>
      </c>
      <c r="C52" s="1" t="s">
        <v>81</v>
      </c>
      <c r="D52" s="14">
        <v>224550.21</v>
      </c>
      <c r="E52" s="32">
        <v>3358822041.1799998</v>
      </c>
      <c r="H52" s="3">
        <f>+H51+D52-F52</f>
        <v>436890.78000000049</v>
      </c>
      <c r="I52" s="4">
        <f>+I51+E52-G52</f>
        <v>6908635606.8860159</v>
      </c>
    </row>
    <row r="53" spans="1:9" ht="15" customHeight="1" x14ac:dyDescent="0.2">
      <c r="A53" s="2">
        <v>44966</v>
      </c>
      <c r="C53" s="1" t="s">
        <v>167</v>
      </c>
      <c r="D53" s="14">
        <v>289170.52</v>
      </c>
      <c r="E53" s="32">
        <v>4321942591.9200001</v>
      </c>
      <c r="H53" s="3">
        <f t="shared" ref="H53:H72" si="2">+H52+D53-F53</f>
        <v>726061.30000000051</v>
      </c>
      <c r="I53" s="4">
        <f t="shared" ref="I53:I63" si="3">+I52+E53-G53</f>
        <v>11230578198.806015</v>
      </c>
    </row>
    <row r="54" spans="1:9" ht="15" customHeight="1" x14ac:dyDescent="0.2">
      <c r="A54" s="2">
        <v>44974</v>
      </c>
      <c r="C54" s="1" t="s">
        <v>40</v>
      </c>
      <c r="D54" s="14">
        <v>271073.77</v>
      </c>
      <c r="E54" s="32">
        <v>4097551107.3200002</v>
      </c>
      <c r="H54" s="3">
        <f t="shared" si="2"/>
        <v>997135.07000000053</v>
      </c>
      <c r="I54" s="4">
        <f t="shared" si="3"/>
        <v>15328129306.126015</v>
      </c>
    </row>
    <row r="55" spans="1:9" ht="15" customHeight="1" x14ac:dyDescent="0.2">
      <c r="A55" s="2">
        <v>44980</v>
      </c>
      <c r="C55" s="1" t="s">
        <v>40</v>
      </c>
      <c r="D55" s="14">
        <v>337788.75</v>
      </c>
      <c r="E55" s="32">
        <v>5131348901.25</v>
      </c>
      <c r="H55" s="3">
        <f t="shared" si="2"/>
        <v>1334923.8200000005</v>
      </c>
      <c r="I55" s="4">
        <f t="shared" si="3"/>
        <v>20459478207.376015</v>
      </c>
    </row>
    <row r="56" spans="1:9" ht="15" customHeight="1" x14ac:dyDescent="0.2">
      <c r="A56" s="2">
        <v>44981</v>
      </c>
      <c r="C56" s="1" t="s">
        <v>32</v>
      </c>
      <c r="D56" s="18">
        <v>75983.31</v>
      </c>
      <c r="E56" s="32">
        <v>1154262462.21</v>
      </c>
      <c r="H56" s="3">
        <f t="shared" si="2"/>
        <v>1410907.1300000006</v>
      </c>
      <c r="I56" s="4">
        <f t="shared" si="3"/>
        <v>21613740669.586014</v>
      </c>
    </row>
    <row r="57" spans="1:9" ht="15" customHeight="1" x14ac:dyDescent="0.2">
      <c r="A57" s="2">
        <v>44958</v>
      </c>
      <c r="C57" s="1" t="s">
        <v>175</v>
      </c>
      <c r="F57" s="14">
        <v>167632.88</v>
      </c>
      <c r="G57" s="32">
        <v>2513152136.96</v>
      </c>
      <c r="H57" s="3">
        <f t="shared" si="2"/>
        <v>1243274.2500000005</v>
      </c>
      <c r="I57" s="4">
        <f t="shared" si="3"/>
        <v>19100588532.626015</v>
      </c>
    </row>
    <row r="58" spans="1:9" ht="15" customHeight="1" x14ac:dyDescent="0.2">
      <c r="A58" s="2">
        <v>44958</v>
      </c>
      <c r="C58" s="1" t="s">
        <v>17</v>
      </c>
      <c r="F58" s="14">
        <v>30</v>
      </c>
      <c r="G58" s="32">
        <v>449760</v>
      </c>
      <c r="H58" s="3">
        <f t="shared" si="2"/>
        <v>1243244.2500000005</v>
      </c>
      <c r="I58" s="4">
        <f t="shared" si="3"/>
        <v>19100138772.626015</v>
      </c>
    </row>
    <row r="59" spans="1:9" ht="15" customHeight="1" x14ac:dyDescent="0.2">
      <c r="A59" s="2">
        <v>44958</v>
      </c>
      <c r="C59" s="1" t="s">
        <v>177</v>
      </c>
      <c r="F59" s="14">
        <v>30000</v>
      </c>
      <c r="G59" s="32">
        <v>469260000</v>
      </c>
      <c r="H59" s="3">
        <f t="shared" si="2"/>
        <v>1213244.2500000005</v>
      </c>
      <c r="I59" s="4">
        <f t="shared" si="3"/>
        <v>18630878772.626015</v>
      </c>
    </row>
    <row r="60" spans="1:9" ht="15" customHeight="1" x14ac:dyDescent="0.2">
      <c r="A60" s="2">
        <v>44966</v>
      </c>
      <c r="C60" s="1" t="s">
        <v>182</v>
      </c>
      <c r="F60" s="14">
        <v>216869.72</v>
      </c>
      <c r="G60" s="32">
        <v>3279503905.8400002</v>
      </c>
      <c r="H60" s="3">
        <f t="shared" si="2"/>
        <v>996374.53000000049</v>
      </c>
      <c r="I60" s="4">
        <f t="shared" si="3"/>
        <v>15351374866.786015</v>
      </c>
    </row>
    <row r="61" spans="1:9" ht="15" customHeight="1" x14ac:dyDescent="0.2">
      <c r="A61" s="2">
        <v>44966</v>
      </c>
      <c r="C61" s="1" t="s">
        <v>17</v>
      </c>
      <c r="F61" s="14">
        <v>30</v>
      </c>
      <c r="G61" s="32">
        <v>453660</v>
      </c>
      <c r="H61" s="3">
        <f t="shared" si="2"/>
        <v>996344.53000000049</v>
      </c>
      <c r="I61" s="4">
        <f t="shared" si="3"/>
        <v>15350921206.786015</v>
      </c>
    </row>
    <row r="62" spans="1:9" ht="15" customHeight="1" x14ac:dyDescent="0.2">
      <c r="A62" s="2">
        <v>44966</v>
      </c>
      <c r="C62" s="1" t="s">
        <v>177</v>
      </c>
      <c r="F62" s="14">
        <v>72270.8</v>
      </c>
      <c r="G62" s="32">
        <v>1119089008.4000001</v>
      </c>
      <c r="H62" s="3">
        <f t="shared" si="2"/>
        <v>924073.73000000045</v>
      </c>
      <c r="I62" s="4">
        <f t="shared" si="3"/>
        <v>14231832198.386015</v>
      </c>
    </row>
    <row r="63" spans="1:9" ht="15" customHeight="1" x14ac:dyDescent="0.2">
      <c r="A63" s="2">
        <v>44963</v>
      </c>
      <c r="C63" s="1" t="s">
        <v>177</v>
      </c>
      <c r="F63" s="14">
        <v>22866</v>
      </c>
      <c r="G63" s="32">
        <v>347471736</v>
      </c>
      <c r="H63" s="3">
        <f t="shared" si="2"/>
        <v>901207.73000000045</v>
      </c>
      <c r="I63" s="4">
        <f t="shared" si="3"/>
        <v>13884360462.386015</v>
      </c>
    </row>
    <row r="64" spans="1:9" ht="15" customHeight="1" x14ac:dyDescent="0.2">
      <c r="A64" s="2">
        <v>44973</v>
      </c>
      <c r="C64" s="1" t="s">
        <v>184</v>
      </c>
      <c r="F64" s="14">
        <v>227043.77</v>
      </c>
      <c r="G64" s="32">
        <v>3449703041.3800001</v>
      </c>
      <c r="H64" s="3">
        <f t="shared" si="2"/>
        <v>674163.96000000043</v>
      </c>
      <c r="I64" s="4">
        <f t="shared" ref="I64:I70" si="4">+I63+E64-G64</f>
        <v>10434657421.006016</v>
      </c>
    </row>
    <row r="65" spans="1:9" ht="15" customHeight="1" x14ac:dyDescent="0.2">
      <c r="A65" s="2">
        <v>44973</v>
      </c>
      <c r="C65" s="1" t="s">
        <v>17</v>
      </c>
      <c r="F65" s="14">
        <v>30</v>
      </c>
      <c r="G65" s="32">
        <v>455820</v>
      </c>
      <c r="H65" s="3">
        <f t="shared" si="2"/>
        <v>674133.96000000043</v>
      </c>
      <c r="I65" s="4">
        <f t="shared" si="4"/>
        <v>10434201601.006016</v>
      </c>
    </row>
    <row r="66" spans="1:9" ht="15" customHeight="1" x14ac:dyDescent="0.2">
      <c r="A66" s="2">
        <v>44973</v>
      </c>
      <c r="C66" s="1" t="s">
        <v>177</v>
      </c>
      <c r="F66" s="14">
        <v>44000</v>
      </c>
      <c r="G66" s="32">
        <v>686040000</v>
      </c>
      <c r="H66" s="3">
        <f t="shared" si="2"/>
        <v>630133.96000000043</v>
      </c>
      <c r="I66" s="4">
        <f t="shared" si="4"/>
        <v>9748161601.0060158</v>
      </c>
    </row>
    <row r="67" spans="1:9" ht="15" customHeight="1" x14ac:dyDescent="0.2">
      <c r="A67" s="2">
        <v>44980</v>
      </c>
      <c r="C67" s="1" t="s">
        <v>186</v>
      </c>
      <c r="F67" s="14">
        <v>130864.07</v>
      </c>
      <c r="G67" s="32">
        <v>1991489417.26</v>
      </c>
      <c r="H67" s="3">
        <f t="shared" si="2"/>
        <v>499269.89000000042</v>
      </c>
      <c r="I67" s="4">
        <f t="shared" si="4"/>
        <v>7756672183.7460155</v>
      </c>
    </row>
    <row r="68" spans="1:9" ht="15" customHeight="1" x14ac:dyDescent="0.2">
      <c r="A68" s="2">
        <v>44980</v>
      </c>
      <c r="C68" s="1" t="s">
        <v>17</v>
      </c>
      <c r="F68" s="14">
        <v>30</v>
      </c>
      <c r="G68" s="32">
        <v>456540</v>
      </c>
      <c r="H68" s="3">
        <f t="shared" si="2"/>
        <v>499239.89000000042</v>
      </c>
      <c r="I68" s="4">
        <f t="shared" si="4"/>
        <v>7756215643.7460155</v>
      </c>
    </row>
    <row r="69" spans="1:9" ht="15" customHeight="1" x14ac:dyDescent="0.2">
      <c r="A69" s="2">
        <v>44981</v>
      </c>
      <c r="C69" s="1" t="s">
        <v>186</v>
      </c>
      <c r="F69" s="14">
        <v>130864.08</v>
      </c>
      <c r="G69" s="32">
        <v>1987432782.96</v>
      </c>
      <c r="H69" s="3">
        <f t="shared" si="2"/>
        <v>368375.81000000041</v>
      </c>
      <c r="I69" s="4">
        <f t="shared" si="4"/>
        <v>5768782860.7860155</v>
      </c>
    </row>
    <row r="70" spans="1:9" ht="15" customHeight="1" x14ac:dyDescent="0.2">
      <c r="A70" s="2">
        <v>44981</v>
      </c>
      <c r="C70" s="1" t="s">
        <v>17</v>
      </c>
      <c r="F70" s="14">
        <v>30</v>
      </c>
      <c r="G70" s="32">
        <v>455610</v>
      </c>
      <c r="H70" s="3">
        <f t="shared" si="2"/>
        <v>368345.81000000041</v>
      </c>
      <c r="I70" s="4">
        <f t="shared" si="4"/>
        <v>5768327250.7860155</v>
      </c>
    </row>
    <row r="71" spans="1:9" ht="15" customHeight="1" x14ac:dyDescent="0.2">
      <c r="A71" s="2">
        <v>44981</v>
      </c>
      <c r="C71" s="1" t="s">
        <v>177</v>
      </c>
      <c r="F71" s="14">
        <v>76000.600000000006</v>
      </c>
      <c r="G71" s="32">
        <v>1182729385.2</v>
      </c>
      <c r="H71" s="3">
        <f t="shared" si="2"/>
        <v>292345.21000000043</v>
      </c>
      <c r="I71" s="4">
        <f t="shared" ref="I71:I72" si="5">+I70+E71-G71</f>
        <v>4585597865.5860157</v>
      </c>
    </row>
    <row r="72" spans="1:9" ht="15" customHeight="1" x14ac:dyDescent="0.2">
      <c r="A72" s="2">
        <v>44985</v>
      </c>
      <c r="B72" s="1"/>
      <c r="C72" s="1" t="s">
        <v>18</v>
      </c>
      <c r="E72" s="32">
        <v>182864584.88</v>
      </c>
      <c r="F72" s="1"/>
      <c r="G72" s="1"/>
      <c r="H72" s="6">
        <f t="shared" si="2"/>
        <v>292345.21000000043</v>
      </c>
      <c r="I72" s="7">
        <f t="shared" si="5"/>
        <v>4768462450.4660158</v>
      </c>
    </row>
    <row r="73" spans="1:9" ht="15" customHeight="1" x14ac:dyDescent="0.2">
      <c r="A73" s="1"/>
      <c r="B73" s="1"/>
      <c r="F73" s="1"/>
      <c r="G73" s="1"/>
    </row>
    <row r="74" spans="1:9" ht="15" customHeight="1" x14ac:dyDescent="0.2">
      <c r="H74" s="3">
        <f>+H72+UM!H267</f>
        <v>-1391748.1599999995</v>
      </c>
      <c r="I74" s="4">
        <f>+I72+UM!I267</f>
        <v>-20917807255.479996</v>
      </c>
    </row>
    <row r="75" spans="1:9" ht="15" customHeight="1" x14ac:dyDescent="0.2">
      <c r="H75" s="3">
        <f>+H74-H77</f>
        <v>10000.000000000233</v>
      </c>
      <c r="I75" s="4">
        <f>+I74-I77</f>
        <v>143539999.99820709</v>
      </c>
    </row>
    <row r="77" spans="1:9" ht="15" customHeight="1" x14ac:dyDescent="0.2">
      <c r="H77" s="3">
        <v>-1401748.1599999997</v>
      </c>
      <c r="I77" s="4">
        <v>-21061347255.478203</v>
      </c>
    </row>
    <row r="80" spans="1:9" ht="15" customHeight="1" x14ac:dyDescent="0.2">
      <c r="A80" s="2">
        <v>44987</v>
      </c>
      <c r="C80" s="1" t="s">
        <v>197</v>
      </c>
      <c r="D80" s="18">
        <v>71784.66</v>
      </c>
      <c r="E80" s="32">
        <v>1090696124.04</v>
      </c>
      <c r="H80" s="3">
        <f>+H72+D80-F80</f>
        <v>364129.87000000046</v>
      </c>
      <c r="I80" s="4">
        <f>+I72+E80-G80</f>
        <v>5859158574.5060158</v>
      </c>
    </row>
    <row r="81" spans="1:9" ht="15" customHeight="1" x14ac:dyDescent="0.2">
      <c r="A81" s="2">
        <v>44988</v>
      </c>
      <c r="C81" s="1" t="s">
        <v>81</v>
      </c>
      <c r="D81" s="18">
        <v>150782.67000000001</v>
      </c>
      <c r="E81" s="32">
        <v>2290991887.98</v>
      </c>
      <c r="H81" s="3">
        <f>+H80+D81-F81</f>
        <v>514912.5400000005</v>
      </c>
      <c r="I81" s="4">
        <f>+I80+E81-G81</f>
        <v>8150150462.4860153</v>
      </c>
    </row>
    <row r="82" spans="1:9" ht="15" customHeight="1" x14ac:dyDescent="0.2">
      <c r="A82" s="2">
        <v>44993</v>
      </c>
      <c r="C82" s="1" t="s">
        <v>16</v>
      </c>
      <c r="D82" s="18">
        <v>82943.55</v>
      </c>
      <c r="E82" s="32">
        <v>1266465064.95</v>
      </c>
      <c r="H82" s="3">
        <f t="shared" ref="H82:H107" si="6">+H81+D82-F82</f>
        <v>597856.09000000055</v>
      </c>
      <c r="I82" s="4">
        <f t="shared" ref="I82:I107" si="7">+I81+E82-G82</f>
        <v>9416615527.4360161</v>
      </c>
    </row>
    <row r="83" spans="1:9" ht="15" customHeight="1" x14ac:dyDescent="0.2">
      <c r="A83" s="2">
        <v>45002</v>
      </c>
      <c r="C83" s="1" t="s">
        <v>32</v>
      </c>
      <c r="D83" s="18">
        <v>75311.759999999995</v>
      </c>
      <c r="E83" s="32">
        <v>1160102351.04</v>
      </c>
      <c r="H83" s="3">
        <f t="shared" si="6"/>
        <v>673167.85000000056</v>
      </c>
      <c r="I83" s="4">
        <f t="shared" si="7"/>
        <v>10576717878.476017</v>
      </c>
    </row>
    <row r="84" spans="1:9" ht="15" customHeight="1" x14ac:dyDescent="0.2">
      <c r="A84" s="2">
        <v>45005</v>
      </c>
      <c r="C84" s="1" t="s">
        <v>16</v>
      </c>
      <c r="D84" s="18">
        <v>84064.95</v>
      </c>
      <c r="E84" s="32">
        <v>1294936489.8</v>
      </c>
      <c r="H84" s="3">
        <f t="shared" si="6"/>
        <v>757232.80000000051</v>
      </c>
      <c r="I84" s="4">
        <f t="shared" si="7"/>
        <v>11871654368.276016</v>
      </c>
    </row>
    <row r="85" spans="1:9" ht="15" customHeight="1" x14ac:dyDescent="0.2">
      <c r="A85" s="2">
        <v>45006</v>
      </c>
      <c r="C85" s="1" t="s">
        <v>16</v>
      </c>
      <c r="D85" s="18">
        <v>81488.399999999994</v>
      </c>
      <c r="E85" s="32">
        <v>1255247313.5999999</v>
      </c>
      <c r="H85" s="3">
        <f t="shared" si="6"/>
        <v>838721.20000000054</v>
      </c>
      <c r="I85" s="4">
        <f t="shared" si="7"/>
        <v>13126901681.876017</v>
      </c>
    </row>
    <row r="86" spans="1:9" ht="15" customHeight="1" x14ac:dyDescent="0.2">
      <c r="A86" s="2">
        <v>45006</v>
      </c>
      <c r="C86" s="1" t="s">
        <v>16</v>
      </c>
      <c r="D86" s="18">
        <v>77612.45</v>
      </c>
      <c r="E86" s="32">
        <v>1195542179.8</v>
      </c>
      <c r="H86" s="3">
        <f t="shared" si="6"/>
        <v>916333.65000000049</v>
      </c>
      <c r="I86" s="4">
        <f t="shared" si="7"/>
        <v>14322443861.676016</v>
      </c>
    </row>
    <row r="87" spans="1:9" ht="15" customHeight="1" x14ac:dyDescent="0.2">
      <c r="A87" s="2">
        <v>45009</v>
      </c>
      <c r="C87" s="1" t="s">
        <v>40</v>
      </c>
      <c r="D87" s="18">
        <v>265052.59999999998</v>
      </c>
      <c r="E87" s="32">
        <v>4076774040.5999994</v>
      </c>
      <c r="H87" s="3">
        <f t="shared" si="6"/>
        <v>1181386.2500000005</v>
      </c>
      <c r="I87" s="4">
        <f t="shared" si="7"/>
        <v>18399217902.276016</v>
      </c>
    </row>
    <row r="88" spans="1:9" ht="15" customHeight="1" x14ac:dyDescent="0.2">
      <c r="A88" s="2">
        <v>45012</v>
      </c>
      <c r="C88" s="1" t="s">
        <v>167</v>
      </c>
      <c r="D88" s="18">
        <v>139948.91</v>
      </c>
      <c r="E88" s="32">
        <v>2152554184.71</v>
      </c>
      <c r="H88" s="3">
        <f t="shared" si="6"/>
        <v>1321335.1600000004</v>
      </c>
      <c r="I88" s="4">
        <f t="shared" si="7"/>
        <v>20551772086.986015</v>
      </c>
    </row>
    <row r="89" spans="1:9" ht="15" customHeight="1" x14ac:dyDescent="0.2">
      <c r="A89" s="2">
        <v>45015</v>
      </c>
      <c r="C89" s="1" t="s">
        <v>40</v>
      </c>
      <c r="D89" s="147">
        <v>132166.01</v>
      </c>
      <c r="E89" s="32">
        <v>2022668617.0400002</v>
      </c>
      <c r="H89" s="3">
        <f t="shared" si="6"/>
        <v>1453501.1700000004</v>
      </c>
      <c r="I89" s="4">
        <f t="shared" si="7"/>
        <v>22574440704.026016</v>
      </c>
    </row>
    <row r="90" spans="1:9" ht="15" customHeight="1" x14ac:dyDescent="0.2">
      <c r="A90" s="2">
        <v>45016</v>
      </c>
      <c r="C90" s="1" t="s">
        <v>81</v>
      </c>
      <c r="D90" s="3">
        <v>282536.67</v>
      </c>
      <c r="E90" s="32">
        <v>4323941197.6799994</v>
      </c>
      <c r="H90" s="3">
        <f t="shared" si="6"/>
        <v>1736037.8400000003</v>
      </c>
      <c r="I90" s="4">
        <f t="shared" si="7"/>
        <v>26898381901.706017</v>
      </c>
    </row>
    <row r="91" spans="1:9" ht="15" customHeight="1" x14ac:dyDescent="0.2">
      <c r="A91" s="2">
        <v>44986</v>
      </c>
      <c r="C91" s="1" t="s">
        <v>207</v>
      </c>
      <c r="F91" s="18">
        <v>61169.31</v>
      </c>
      <c r="G91" s="32">
        <v>932220284.39999998</v>
      </c>
      <c r="H91" s="3">
        <f t="shared" si="6"/>
        <v>1674868.5300000003</v>
      </c>
      <c r="I91" s="4">
        <f t="shared" si="7"/>
        <v>25966161617.306015</v>
      </c>
    </row>
    <row r="92" spans="1:9" ht="15" customHeight="1" x14ac:dyDescent="0.2">
      <c r="A92" s="2">
        <v>44986</v>
      </c>
      <c r="C92" s="1" t="s">
        <v>17</v>
      </c>
      <c r="F92" s="18">
        <v>42</v>
      </c>
      <c r="G92" s="32">
        <v>640080</v>
      </c>
      <c r="H92" s="3">
        <f t="shared" si="6"/>
        <v>1674826.5300000003</v>
      </c>
      <c r="I92" s="4">
        <f t="shared" si="7"/>
        <v>25965521537.306015</v>
      </c>
    </row>
    <row r="93" spans="1:9" ht="15" customHeight="1" x14ac:dyDescent="0.2">
      <c r="A93" s="2">
        <v>44986</v>
      </c>
      <c r="C93" s="1" t="s">
        <v>177</v>
      </c>
      <c r="F93" s="18">
        <v>14772</v>
      </c>
      <c r="G93" s="32">
        <v>227621748</v>
      </c>
      <c r="H93" s="3">
        <f t="shared" si="6"/>
        <v>1660054.5300000003</v>
      </c>
      <c r="I93" s="4">
        <f t="shared" si="7"/>
        <v>25737899789.306015</v>
      </c>
    </row>
    <row r="94" spans="1:9" ht="15" customHeight="1" x14ac:dyDescent="0.2">
      <c r="A94" s="2">
        <v>45006</v>
      </c>
      <c r="C94" s="1" t="s">
        <v>177</v>
      </c>
      <c r="F94" s="18">
        <v>159100.85</v>
      </c>
      <c r="G94" s="32">
        <v>2416264608.9499998</v>
      </c>
      <c r="H94" s="3">
        <f t="shared" si="6"/>
        <v>1500953.6800000002</v>
      </c>
      <c r="I94" s="4">
        <f t="shared" si="7"/>
        <v>23321635180.356014</v>
      </c>
    </row>
    <row r="95" spans="1:9" ht="15" customHeight="1" x14ac:dyDescent="0.2">
      <c r="A95" s="2">
        <v>44993</v>
      </c>
      <c r="C95" s="1" t="s">
        <v>177</v>
      </c>
      <c r="F95" s="18">
        <v>82943.55</v>
      </c>
      <c r="G95" s="32">
        <v>1248715145.25</v>
      </c>
      <c r="H95" s="3">
        <f t="shared" si="6"/>
        <v>1418010.1300000001</v>
      </c>
      <c r="I95" s="4">
        <f t="shared" si="7"/>
        <v>22072920035.106014</v>
      </c>
    </row>
    <row r="96" spans="1:9" ht="15" customHeight="1" x14ac:dyDescent="0.2">
      <c r="A96" s="2">
        <v>45005</v>
      </c>
      <c r="C96" s="1" t="s">
        <v>177</v>
      </c>
      <c r="F96" s="18">
        <v>84064.95</v>
      </c>
      <c r="G96" s="32">
        <v>1265597822.25</v>
      </c>
      <c r="H96" s="3">
        <f t="shared" si="6"/>
        <v>1333945.1800000002</v>
      </c>
      <c r="I96" s="4">
        <f t="shared" si="7"/>
        <v>20807322212.856014</v>
      </c>
    </row>
    <row r="97" spans="1:9" ht="15" customHeight="1" x14ac:dyDescent="0.2">
      <c r="A97" s="2">
        <v>45009</v>
      </c>
      <c r="C97" s="1" t="s">
        <v>220</v>
      </c>
      <c r="F97" s="18">
        <v>222854.6</v>
      </c>
      <c r="G97" s="32">
        <v>3420595255.4000001</v>
      </c>
      <c r="H97" s="3">
        <f t="shared" si="6"/>
        <v>1111090.58</v>
      </c>
      <c r="I97" s="4">
        <f t="shared" si="7"/>
        <v>17386726957.456013</v>
      </c>
    </row>
    <row r="98" spans="1:9" ht="15" customHeight="1" x14ac:dyDescent="0.2">
      <c r="A98" s="2">
        <v>45009</v>
      </c>
      <c r="C98" s="1" t="s">
        <v>17</v>
      </c>
      <c r="F98" s="18">
        <v>30</v>
      </c>
      <c r="G98" s="32">
        <v>460470</v>
      </c>
      <c r="H98" s="3">
        <f t="shared" si="6"/>
        <v>1111060.58</v>
      </c>
      <c r="I98" s="4">
        <f t="shared" si="7"/>
        <v>17386266487.456013</v>
      </c>
    </row>
    <row r="99" spans="1:9" ht="15" customHeight="1" x14ac:dyDescent="0.2">
      <c r="A99" s="2">
        <v>45009</v>
      </c>
      <c r="C99" s="1" t="s">
        <v>177</v>
      </c>
      <c r="F99" s="18">
        <v>42168</v>
      </c>
      <c r="G99" s="32">
        <v>643903488</v>
      </c>
      <c r="H99" s="3">
        <f t="shared" si="6"/>
        <v>1068892.58</v>
      </c>
      <c r="I99" s="4">
        <f t="shared" si="7"/>
        <v>16742362999.456013</v>
      </c>
    </row>
    <row r="100" spans="1:9" ht="15" customHeight="1" x14ac:dyDescent="0.2">
      <c r="A100" s="2">
        <v>44988</v>
      </c>
      <c r="C100" s="1" t="s">
        <v>177</v>
      </c>
      <c r="F100" s="18">
        <v>150782.67000000001</v>
      </c>
      <c r="G100" s="32">
        <v>2287071538.5599999</v>
      </c>
      <c r="H100" s="3">
        <f t="shared" si="6"/>
        <v>918109.91</v>
      </c>
      <c r="I100" s="4">
        <f t="shared" si="7"/>
        <v>14455291460.896013</v>
      </c>
    </row>
    <row r="101" spans="1:9" ht="15" customHeight="1" x14ac:dyDescent="0.2">
      <c r="A101" s="2">
        <v>45015</v>
      </c>
      <c r="C101" s="1" t="s">
        <v>226</v>
      </c>
      <c r="F101" s="18">
        <v>115918.91</v>
      </c>
      <c r="G101" s="32">
        <v>1749680027.54</v>
      </c>
      <c r="H101" s="3">
        <f t="shared" si="6"/>
        <v>802191</v>
      </c>
      <c r="I101" s="4">
        <f t="shared" si="7"/>
        <v>12705611433.356014</v>
      </c>
    </row>
    <row r="102" spans="1:9" ht="15" customHeight="1" x14ac:dyDescent="0.2">
      <c r="A102" s="2">
        <v>45015</v>
      </c>
      <c r="C102" s="1" t="s">
        <v>17</v>
      </c>
      <c r="F102" s="18">
        <v>30</v>
      </c>
      <c r="G102" s="32">
        <v>452820</v>
      </c>
      <c r="H102" s="3">
        <f t="shared" si="6"/>
        <v>802161</v>
      </c>
      <c r="I102" s="4">
        <f t="shared" si="7"/>
        <v>12705158613.356014</v>
      </c>
    </row>
    <row r="103" spans="1:9" ht="15" customHeight="1" x14ac:dyDescent="0.2">
      <c r="A103" s="2">
        <v>45015</v>
      </c>
      <c r="C103" s="1" t="s">
        <v>177</v>
      </c>
      <c r="F103" s="18">
        <v>24000</v>
      </c>
      <c r="G103" s="32">
        <v>375408000</v>
      </c>
      <c r="H103" s="3">
        <f t="shared" si="6"/>
        <v>778161</v>
      </c>
      <c r="I103" s="4">
        <f t="shared" si="7"/>
        <v>12329750613.356014</v>
      </c>
    </row>
    <row r="104" spans="1:9" ht="15" customHeight="1" x14ac:dyDescent="0.2">
      <c r="A104" s="2">
        <v>45005</v>
      </c>
      <c r="C104" s="1" t="s">
        <v>228</v>
      </c>
      <c r="F104" s="18">
        <v>60497.760000000002</v>
      </c>
      <c r="G104" s="32">
        <v>929487584.63999999</v>
      </c>
      <c r="H104" s="3">
        <f t="shared" si="6"/>
        <v>717663.24</v>
      </c>
      <c r="I104" s="4">
        <f t="shared" si="7"/>
        <v>11400263028.716015</v>
      </c>
    </row>
    <row r="105" spans="1:9" ht="15" customHeight="1" x14ac:dyDescent="0.2">
      <c r="A105" s="2">
        <v>45005</v>
      </c>
      <c r="C105" s="1" t="s">
        <v>17</v>
      </c>
      <c r="F105" s="18">
        <v>42</v>
      </c>
      <c r="G105" s="32">
        <v>645288</v>
      </c>
      <c r="H105" s="3">
        <f t="shared" si="6"/>
        <v>717621.24</v>
      </c>
      <c r="I105" s="4">
        <f t="shared" si="7"/>
        <v>11399617740.716015</v>
      </c>
    </row>
    <row r="106" spans="1:9" ht="15" customHeight="1" x14ac:dyDescent="0.2">
      <c r="A106" s="2">
        <v>45005</v>
      </c>
      <c r="C106" s="1" t="s">
        <v>177</v>
      </c>
      <c r="F106" s="18">
        <v>14772</v>
      </c>
      <c r="G106" s="32">
        <v>227621748</v>
      </c>
      <c r="H106" s="3">
        <f t="shared" si="6"/>
        <v>702849.24</v>
      </c>
      <c r="I106" s="4">
        <f t="shared" si="7"/>
        <v>11171995992.716015</v>
      </c>
    </row>
    <row r="107" spans="1:9" ht="15" customHeight="1" x14ac:dyDescent="0.2">
      <c r="A107" s="2">
        <v>44987</v>
      </c>
      <c r="C107" s="1" t="s">
        <v>177</v>
      </c>
      <c r="F107" s="18">
        <v>71784.66</v>
      </c>
      <c r="G107" s="32">
        <v>1101182481.0799999</v>
      </c>
      <c r="H107" s="3">
        <f t="shared" si="6"/>
        <v>631064.57999999996</v>
      </c>
      <c r="I107" s="4">
        <f t="shared" si="7"/>
        <v>10070813511.636015</v>
      </c>
    </row>
    <row r="108" spans="1:9" ht="15" customHeight="1" x14ac:dyDescent="0.2">
      <c r="A108" s="2">
        <v>44987</v>
      </c>
      <c r="C108" s="1" t="s">
        <v>177</v>
      </c>
      <c r="F108" s="18">
        <v>282536.67</v>
      </c>
      <c r="G108" s="32">
        <v>4464349315.4499998</v>
      </c>
      <c r="H108" s="3">
        <f t="shared" ref="H108:H109" si="8">+H107+D108-F108</f>
        <v>348527.91</v>
      </c>
      <c r="I108" s="4">
        <f t="shared" ref="I108:I109" si="9">+I107+E108-G108</f>
        <v>5606464196.1860151</v>
      </c>
    </row>
    <row r="109" spans="1:9" ht="15" customHeight="1" x14ac:dyDescent="0.2">
      <c r="A109" s="2">
        <v>45016</v>
      </c>
      <c r="C109" s="1" t="s">
        <v>18</v>
      </c>
      <c r="E109" s="32">
        <v>30404409.109999999</v>
      </c>
      <c r="H109" s="6">
        <f t="shared" si="8"/>
        <v>348527.91</v>
      </c>
      <c r="I109" s="7">
        <f t="shared" si="9"/>
        <v>5636868605.2960148</v>
      </c>
    </row>
    <row r="111" spans="1:9" ht="15" customHeight="1" x14ac:dyDescent="0.2">
      <c r="H111" s="3">
        <f>+H109+UM!H291</f>
        <v>-1363865.95</v>
      </c>
      <c r="I111" s="4">
        <f>+I109+UM!I291</f>
        <v>-20600521659.289993</v>
      </c>
    </row>
    <row r="112" spans="1:9" ht="15" customHeight="1" x14ac:dyDescent="0.2">
      <c r="H112" s="3">
        <f>+H111-H113</f>
        <v>-272536.67000000039</v>
      </c>
      <c r="I112" s="4">
        <f>+I111-I113</f>
        <v>-4180401197.6817894</v>
      </c>
    </row>
    <row r="113" spans="1:9" ht="15" customHeight="1" x14ac:dyDescent="0.2">
      <c r="H113" s="3">
        <v>-1091329.2799999996</v>
      </c>
      <c r="I113" s="4">
        <v>-16420120461.608204</v>
      </c>
    </row>
    <row r="116" spans="1:9" ht="15" customHeight="1" x14ac:dyDescent="0.2">
      <c r="A116" s="2">
        <v>45021</v>
      </c>
      <c r="C116" s="1" t="s">
        <v>40</v>
      </c>
      <c r="D116" s="147">
        <v>267161.14</v>
      </c>
      <c r="E116" s="32">
        <v>4028522830.0600004</v>
      </c>
      <c r="H116" s="3">
        <f>+H109+D116-F116</f>
        <v>615689.05000000005</v>
      </c>
      <c r="I116" s="4">
        <f>+I109+E116-G116</f>
        <v>9665391435.3560143</v>
      </c>
    </row>
    <row r="117" spans="1:9" ht="15" customHeight="1" x14ac:dyDescent="0.2">
      <c r="A117" s="2">
        <v>45022</v>
      </c>
      <c r="C117" s="1" t="s">
        <v>32</v>
      </c>
      <c r="D117" s="3">
        <v>74591.5</v>
      </c>
      <c r="E117" s="32">
        <v>1124765228.5</v>
      </c>
      <c r="H117" s="3">
        <f>+H116+D117-F117</f>
        <v>690280.55</v>
      </c>
      <c r="I117" s="4">
        <f>+I116+E117-G117</f>
        <v>10790156663.856014</v>
      </c>
    </row>
    <row r="118" spans="1:9" ht="15" customHeight="1" x14ac:dyDescent="0.2">
      <c r="A118" s="2">
        <v>45027</v>
      </c>
      <c r="C118" s="1" t="s">
        <v>232</v>
      </c>
      <c r="D118" s="3">
        <v>76241.31</v>
      </c>
      <c r="E118" s="32">
        <v>1149642713.49</v>
      </c>
      <c r="H118" s="3">
        <f t="shared" ref="H118:H126" si="10">+H117+D118-F118</f>
        <v>766521.8600000001</v>
      </c>
      <c r="I118" s="4">
        <f t="shared" ref="I118:I126" si="11">+I117+E118-G118</f>
        <v>11939799377.346014</v>
      </c>
    </row>
    <row r="119" spans="1:9" ht="15" customHeight="1" x14ac:dyDescent="0.2">
      <c r="A119" s="2">
        <v>45043</v>
      </c>
      <c r="C119" s="1" t="s">
        <v>16</v>
      </c>
      <c r="D119" s="3">
        <v>88394.8</v>
      </c>
      <c r="E119" s="32">
        <v>1310364515.2</v>
      </c>
      <c r="H119" s="3">
        <f t="shared" si="10"/>
        <v>854916.66000000015</v>
      </c>
      <c r="I119" s="4">
        <f t="shared" si="11"/>
        <v>13250163892.546015</v>
      </c>
    </row>
    <row r="120" spans="1:9" ht="15" customHeight="1" x14ac:dyDescent="0.2">
      <c r="A120" s="2">
        <v>45022</v>
      </c>
      <c r="C120" s="1" t="s">
        <v>217</v>
      </c>
      <c r="F120" s="147">
        <v>102136.01</v>
      </c>
      <c r="G120" s="32">
        <v>1525197037.3299999</v>
      </c>
      <c r="H120" s="3">
        <f t="shared" si="10"/>
        <v>752780.65000000014</v>
      </c>
      <c r="I120" s="4">
        <f t="shared" si="11"/>
        <v>11724966855.216015</v>
      </c>
    </row>
    <row r="121" spans="1:9" ht="15" customHeight="1" x14ac:dyDescent="0.2">
      <c r="A121" s="2">
        <v>45022</v>
      </c>
      <c r="C121" s="1" t="s">
        <v>17</v>
      </c>
      <c r="F121" s="147">
        <v>30</v>
      </c>
      <c r="G121" s="32">
        <v>447990</v>
      </c>
      <c r="H121" s="3">
        <f t="shared" si="10"/>
        <v>752750.65000000014</v>
      </c>
      <c r="I121" s="4">
        <f t="shared" si="11"/>
        <v>11724518865.216015</v>
      </c>
    </row>
    <row r="122" spans="1:9" ht="15" customHeight="1" x14ac:dyDescent="0.2">
      <c r="A122" s="2">
        <v>45022</v>
      </c>
      <c r="C122" s="1" t="s">
        <v>177</v>
      </c>
      <c r="F122" s="147">
        <v>30000</v>
      </c>
      <c r="G122" s="32">
        <v>460980000</v>
      </c>
      <c r="H122" s="3">
        <f t="shared" si="10"/>
        <v>722750.65000000014</v>
      </c>
      <c r="I122" s="4">
        <f t="shared" si="11"/>
        <v>11263538865.216015</v>
      </c>
    </row>
    <row r="123" spans="1:9" ht="15" customHeight="1" x14ac:dyDescent="0.2">
      <c r="A123" s="2">
        <v>45046</v>
      </c>
      <c r="C123" s="1" t="s">
        <v>18</v>
      </c>
      <c r="G123" s="32">
        <v>69778628.069999993</v>
      </c>
      <c r="H123" s="3">
        <f t="shared" si="10"/>
        <v>722750.65000000014</v>
      </c>
      <c r="I123" s="4">
        <f t="shared" si="11"/>
        <v>11193760237.146015</v>
      </c>
    </row>
    <row r="124" spans="1:9" ht="15" customHeight="1" x14ac:dyDescent="0.2">
      <c r="A124" s="2">
        <v>45027</v>
      </c>
      <c r="C124" s="1" t="s">
        <v>240</v>
      </c>
      <c r="F124" s="147">
        <v>226131.14</v>
      </c>
      <c r="G124" s="32">
        <v>3370484641.6999998</v>
      </c>
      <c r="H124" s="3">
        <f t="shared" si="10"/>
        <v>496619.51000000013</v>
      </c>
      <c r="I124" s="4">
        <f t="shared" si="11"/>
        <v>7823275595.4460154</v>
      </c>
    </row>
    <row r="125" spans="1:9" ht="15" customHeight="1" x14ac:dyDescent="0.2">
      <c r="A125" s="2">
        <v>45027</v>
      </c>
      <c r="C125" s="1" t="s">
        <v>17</v>
      </c>
      <c r="F125" s="147">
        <v>30</v>
      </c>
      <c r="G125" s="32">
        <v>447150</v>
      </c>
      <c r="H125" s="3">
        <f t="shared" si="10"/>
        <v>496589.51000000013</v>
      </c>
      <c r="I125" s="4">
        <f t="shared" si="11"/>
        <v>7822828445.4460154</v>
      </c>
    </row>
    <row r="126" spans="1:9" ht="15" customHeight="1" x14ac:dyDescent="0.2">
      <c r="A126" s="2">
        <v>45027</v>
      </c>
      <c r="C126" s="1" t="s">
        <v>177</v>
      </c>
      <c r="F126" s="147">
        <v>41000</v>
      </c>
      <c r="G126" s="32">
        <v>623856000</v>
      </c>
      <c r="H126" s="3">
        <f t="shared" si="10"/>
        <v>455589.51000000013</v>
      </c>
      <c r="I126" s="4">
        <f t="shared" si="11"/>
        <v>7198972445.4460154</v>
      </c>
    </row>
    <row r="128" spans="1:9" ht="15" customHeight="1" x14ac:dyDescent="0.2">
      <c r="H128" s="3">
        <f>+H126+UM!H306</f>
        <v>-1658708.0599999996</v>
      </c>
      <c r="I128" s="4">
        <f>+I126+UM!I306</f>
        <v>-24700679141.89999</v>
      </c>
    </row>
    <row r="129" spans="1:9" ht="15" customHeight="1" x14ac:dyDescent="0.2">
      <c r="H129" s="3">
        <f>+H128-H130</f>
        <v>10000</v>
      </c>
      <c r="I129" s="4">
        <f>+I128-I130</f>
        <v>283948117.76821518</v>
      </c>
    </row>
    <row r="130" spans="1:9" s="149" customFormat="1" ht="15" customHeight="1" x14ac:dyDescent="0.2">
      <c r="A130" s="5"/>
      <c r="B130" s="5"/>
      <c r="D130" s="6"/>
      <c r="E130" s="179"/>
      <c r="F130" s="6"/>
      <c r="G130" s="179"/>
      <c r="H130" s="6">
        <v>-1668708.0599999996</v>
      </c>
      <c r="I130" s="7">
        <v>-24984627259.668205</v>
      </c>
    </row>
    <row r="132" spans="1:9" ht="15" customHeight="1" x14ac:dyDescent="0.2">
      <c r="A132" s="2">
        <v>45048</v>
      </c>
      <c r="C132" s="40" t="s">
        <v>194</v>
      </c>
      <c r="D132" s="162">
        <v>66408.36</v>
      </c>
      <c r="E132" s="32">
        <v>984437528.63999999</v>
      </c>
      <c r="F132" s="17"/>
      <c r="H132" s="3">
        <f>+H126+D132-F132</f>
        <v>521997.87000000011</v>
      </c>
      <c r="I132" s="4">
        <f>+I126+E132-G132</f>
        <v>8183409974.0860157</v>
      </c>
    </row>
    <row r="133" spans="1:9" ht="15" customHeight="1" x14ac:dyDescent="0.2">
      <c r="A133" s="2">
        <v>45051</v>
      </c>
      <c r="C133" s="40" t="s">
        <v>40</v>
      </c>
      <c r="D133" s="16">
        <v>195425.82</v>
      </c>
      <c r="E133" s="32">
        <v>2885462232.3000002</v>
      </c>
      <c r="F133" s="17"/>
      <c r="H133" s="3">
        <f>+H132+D133-F133</f>
        <v>717423.69000000018</v>
      </c>
      <c r="I133" s="4">
        <f>+I132+E133-G133</f>
        <v>11068872206.386017</v>
      </c>
    </row>
    <row r="134" spans="1:9" ht="15" customHeight="1" x14ac:dyDescent="0.2">
      <c r="A134" s="2">
        <v>45051</v>
      </c>
      <c r="C134" s="40" t="s">
        <v>40</v>
      </c>
      <c r="D134" s="66">
        <v>321747.06</v>
      </c>
      <c r="E134" s="32">
        <v>4750595340.8999996</v>
      </c>
      <c r="F134" s="17"/>
      <c r="H134" s="3">
        <f t="shared" ref="H134:H166" si="12">+H133+D134-F134</f>
        <v>1039170.7500000002</v>
      </c>
      <c r="I134" s="4">
        <f t="shared" ref="I134:I166" si="13">+I133+E134-G134</f>
        <v>15819467547.286016</v>
      </c>
    </row>
    <row r="135" spans="1:9" ht="15" customHeight="1" x14ac:dyDescent="0.2">
      <c r="A135" s="2">
        <v>45051</v>
      </c>
      <c r="C135" s="40" t="s">
        <v>40</v>
      </c>
      <c r="D135" s="16">
        <v>261265.01</v>
      </c>
      <c r="E135" s="32">
        <v>3857577872.6500001</v>
      </c>
      <c r="F135" s="17"/>
      <c r="H135" s="3">
        <f t="shared" si="12"/>
        <v>1300435.7600000002</v>
      </c>
      <c r="I135" s="4">
        <f t="shared" si="13"/>
        <v>19677045419.936016</v>
      </c>
    </row>
    <row r="136" spans="1:9" ht="15" customHeight="1" x14ac:dyDescent="0.2">
      <c r="A136" s="2">
        <v>45057</v>
      </c>
      <c r="C136" s="40" t="s">
        <v>40</v>
      </c>
      <c r="D136" s="16">
        <v>130073.2</v>
      </c>
      <c r="E136" s="32">
        <v>1909344502.8</v>
      </c>
      <c r="F136" s="17"/>
      <c r="H136" s="3">
        <f t="shared" si="12"/>
        <v>1430508.9600000002</v>
      </c>
      <c r="I136" s="4">
        <f t="shared" si="13"/>
        <v>21586389922.736015</v>
      </c>
    </row>
    <row r="137" spans="1:9" ht="15" customHeight="1" x14ac:dyDescent="0.2">
      <c r="A137" s="2">
        <v>45065</v>
      </c>
      <c r="C137" s="40" t="s">
        <v>55</v>
      </c>
      <c r="D137" s="71">
        <v>161866.10999999999</v>
      </c>
      <c r="E137" s="32">
        <v>2385582729.1799998</v>
      </c>
      <c r="F137" s="17"/>
      <c r="H137" s="3">
        <f t="shared" si="12"/>
        <v>1592375.0700000003</v>
      </c>
      <c r="I137" s="4">
        <f t="shared" si="13"/>
        <v>23971972651.916016</v>
      </c>
    </row>
    <row r="138" spans="1:9" ht="15" customHeight="1" x14ac:dyDescent="0.2">
      <c r="A138" s="2">
        <v>45065</v>
      </c>
      <c r="C138" s="40" t="s">
        <v>40</v>
      </c>
      <c r="D138" s="16">
        <v>129952.9</v>
      </c>
      <c r="E138" s="32">
        <v>1915245840.1999998</v>
      </c>
      <c r="F138" s="17"/>
      <c r="H138" s="3">
        <f t="shared" si="12"/>
        <v>1722327.9700000002</v>
      </c>
      <c r="I138" s="4">
        <f t="shared" si="13"/>
        <v>25887218492.116016</v>
      </c>
    </row>
    <row r="139" spans="1:9" ht="15" customHeight="1" x14ac:dyDescent="0.2">
      <c r="A139" s="2">
        <v>45070</v>
      </c>
      <c r="C139" s="40" t="s">
        <v>167</v>
      </c>
      <c r="D139" s="16">
        <v>358495.08</v>
      </c>
      <c r="E139" s="32">
        <v>5326878393.7200003</v>
      </c>
      <c r="F139" s="17"/>
      <c r="H139" s="3">
        <f t="shared" si="12"/>
        <v>2080823.0500000003</v>
      </c>
      <c r="I139" s="4">
        <f t="shared" si="13"/>
        <v>31214096885.836018</v>
      </c>
    </row>
    <row r="140" spans="1:9" ht="15" customHeight="1" x14ac:dyDescent="0.2">
      <c r="A140" s="2">
        <v>45048</v>
      </c>
      <c r="C140" s="1" t="s">
        <v>256</v>
      </c>
      <c r="D140" s="17"/>
      <c r="F140" s="163">
        <v>19674</v>
      </c>
      <c r="G140" s="152">
        <v>292513032</v>
      </c>
      <c r="H140" s="3">
        <f t="shared" si="12"/>
        <v>2061149.0500000003</v>
      </c>
      <c r="I140" s="4">
        <f t="shared" si="13"/>
        <v>30921583853.836018</v>
      </c>
    </row>
    <row r="141" spans="1:9" ht="15" customHeight="1" x14ac:dyDescent="0.2">
      <c r="A141" s="2">
        <v>45048</v>
      </c>
      <c r="C141" s="1" t="s">
        <v>256</v>
      </c>
      <c r="D141" s="17"/>
      <c r="F141" s="163">
        <v>46734.36</v>
      </c>
      <c r="G141" s="152">
        <v>690406700.27999997</v>
      </c>
      <c r="H141" s="3">
        <f t="shared" si="12"/>
        <v>2014414.6900000002</v>
      </c>
      <c r="I141" s="4">
        <f t="shared" si="13"/>
        <v>30231177153.556019</v>
      </c>
    </row>
    <row r="142" spans="1:9" ht="15" customHeight="1" x14ac:dyDescent="0.2">
      <c r="A142" s="2">
        <v>45051</v>
      </c>
      <c r="C142" s="1" t="s">
        <v>256</v>
      </c>
      <c r="D142" s="17"/>
      <c r="F142" s="66">
        <v>70502.8</v>
      </c>
      <c r="G142" s="32">
        <v>1072770604.8</v>
      </c>
      <c r="H142" s="3">
        <f t="shared" si="12"/>
        <v>1943911.8900000001</v>
      </c>
      <c r="I142" s="4">
        <f t="shared" si="13"/>
        <v>29158406548.75602</v>
      </c>
    </row>
    <row r="143" spans="1:9" ht="15" customHeight="1" x14ac:dyDescent="0.2">
      <c r="A143" s="2">
        <v>45051</v>
      </c>
      <c r="C143" s="1" t="s">
        <v>255</v>
      </c>
      <c r="D143" s="17"/>
      <c r="F143" s="16">
        <v>163395.82</v>
      </c>
      <c r="G143" s="32">
        <v>2390807638.2399998</v>
      </c>
      <c r="H143" s="3">
        <f t="shared" si="12"/>
        <v>1780516.07</v>
      </c>
      <c r="I143" s="4">
        <f t="shared" si="13"/>
        <v>26767598910.516022</v>
      </c>
    </row>
    <row r="144" spans="1:9" ht="15" customHeight="1" x14ac:dyDescent="0.2">
      <c r="A144" s="2">
        <v>45051</v>
      </c>
      <c r="C144" s="1" t="s">
        <v>17</v>
      </c>
      <c r="D144" s="17"/>
      <c r="F144" s="16">
        <v>30</v>
      </c>
      <c r="G144" s="32">
        <v>438960</v>
      </c>
      <c r="H144" s="3">
        <f t="shared" si="12"/>
        <v>1780486.07</v>
      </c>
      <c r="I144" s="4">
        <f t="shared" si="13"/>
        <v>26767159950.516022</v>
      </c>
    </row>
    <row r="145" spans="1:9" ht="15" customHeight="1" x14ac:dyDescent="0.2">
      <c r="A145" s="2">
        <v>45051</v>
      </c>
      <c r="C145" s="1" t="s">
        <v>256</v>
      </c>
      <c r="D145" s="17"/>
      <c r="F145" s="150">
        <v>32000</v>
      </c>
      <c r="G145" s="140">
        <v>492160000</v>
      </c>
      <c r="H145" s="3">
        <f t="shared" si="12"/>
        <v>1748486.07</v>
      </c>
      <c r="I145" s="4">
        <f t="shared" si="13"/>
        <v>26274999950.516022</v>
      </c>
    </row>
    <row r="146" spans="1:9" ht="15" customHeight="1" x14ac:dyDescent="0.2">
      <c r="A146" s="2">
        <v>45056</v>
      </c>
      <c r="C146" s="1" t="s">
        <v>257</v>
      </c>
      <c r="D146" s="17"/>
      <c r="F146" s="16">
        <v>219235.01</v>
      </c>
      <c r="G146" s="32">
        <v>3235251042.5700002</v>
      </c>
      <c r="H146" s="3">
        <f t="shared" si="12"/>
        <v>1529251.06</v>
      </c>
      <c r="I146" s="4">
        <f t="shared" si="13"/>
        <v>23039748907.946022</v>
      </c>
    </row>
    <row r="147" spans="1:9" ht="15" customHeight="1" x14ac:dyDescent="0.2">
      <c r="A147" s="2">
        <v>45056</v>
      </c>
      <c r="C147" s="1" t="s">
        <v>17</v>
      </c>
      <c r="D147" s="17"/>
      <c r="F147" s="16">
        <v>30</v>
      </c>
      <c r="G147" s="32">
        <v>442710</v>
      </c>
      <c r="H147" s="3">
        <f t="shared" si="12"/>
        <v>1529221.06</v>
      </c>
      <c r="I147" s="4">
        <f t="shared" si="13"/>
        <v>23039306197.946022</v>
      </c>
    </row>
    <row r="148" spans="1:9" ht="15" customHeight="1" x14ac:dyDescent="0.2">
      <c r="A148" s="2">
        <v>45056</v>
      </c>
      <c r="C148" s="1" t="s">
        <v>256</v>
      </c>
      <c r="D148" s="156"/>
      <c r="E148" s="73"/>
      <c r="F148" s="150">
        <v>42000</v>
      </c>
      <c r="G148" s="140">
        <v>645960000</v>
      </c>
      <c r="H148" s="3">
        <f t="shared" si="12"/>
        <v>1487221.06</v>
      </c>
      <c r="I148" s="4">
        <f t="shared" si="13"/>
        <v>22393346197.946022</v>
      </c>
    </row>
    <row r="149" spans="1:9" ht="15" customHeight="1" x14ac:dyDescent="0.2">
      <c r="A149" s="2">
        <v>45058</v>
      </c>
      <c r="C149" s="1" t="s">
        <v>258</v>
      </c>
      <c r="D149" s="17"/>
      <c r="F149" s="16">
        <v>107043.2</v>
      </c>
      <c r="G149" s="32">
        <v>1575889990.4000001</v>
      </c>
      <c r="H149" s="3">
        <f t="shared" si="12"/>
        <v>1380177.86</v>
      </c>
      <c r="I149" s="4">
        <f t="shared" si="13"/>
        <v>20817456207.546021</v>
      </c>
    </row>
    <row r="150" spans="1:9" ht="15" customHeight="1" x14ac:dyDescent="0.2">
      <c r="A150" s="2">
        <v>45058</v>
      </c>
      <c r="C150" s="1" t="s">
        <v>17</v>
      </c>
      <c r="D150" s="17"/>
      <c r="F150" s="16">
        <v>30</v>
      </c>
      <c r="G150" s="32">
        <v>441660</v>
      </c>
      <c r="H150" s="3">
        <f t="shared" si="12"/>
        <v>1380147.86</v>
      </c>
      <c r="I150" s="4">
        <f t="shared" si="13"/>
        <v>20817014547.546021</v>
      </c>
    </row>
    <row r="151" spans="1:9" ht="15" customHeight="1" x14ac:dyDescent="0.2">
      <c r="A151" s="2">
        <v>45058</v>
      </c>
      <c r="C151" s="1" t="s">
        <v>256</v>
      </c>
      <c r="D151" s="156"/>
      <c r="E151" s="73"/>
      <c r="F151" s="150">
        <v>13000</v>
      </c>
      <c r="G151" s="140">
        <v>199940000</v>
      </c>
      <c r="H151" s="3">
        <f t="shared" si="12"/>
        <v>1367147.86</v>
      </c>
      <c r="I151" s="4">
        <f t="shared" si="13"/>
        <v>20617074547.546021</v>
      </c>
    </row>
    <row r="152" spans="1:9" ht="15" customHeight="1" x14ac:dyDescent="0.2">
      <c r="A152" s="2">
        <v>45058</v>
      </c>
      <c r="C152" s="1" t="s">
        <v>256</v>
      </c>
      <c r="F152" s="151">
        <v>10000</v>
      </c>
      <c r="G152" s="152">
        <v>149330000</v>
      </c>
      <c r="H152" s="3">
        <f t="shared" si="12"/>
        <v>1357147.86</v>
      </c>
      <c r="I152" s="4">
        <f t="shared" si="13"/>
        <v>20467744547.546021</v>
      </c>
    </row>
    <row r="153" spans="1:9" ht="15" customHeight="1" x14ac:dyDescent="0.2">
      <c r="A153" s="2">
        <v>45065</v>
      </c>
      <c r="C153" s="1" t="s">
        <v>259</v>
      </c>
      <c r="D153" s="17"/>
      <c r="F153" s="16">
        <v>106922.9</v>
      </c>
      <c r="G153" s="32">
        <v>1590479206.73</v>
      </c>
      <c r="H153" s="3">
        <f t="shared" si="12"/>
        <v>1250224.9600000002</v>
      </c>
      <c r="I153" s="4">
        <f t="shared" si="13"/>
        <v>18877265340.816021</v>
      </c>
    </row>
    <row r="154" spans="1:9" ht="15" customHeight="1" x14ac:dyDescent="0.2">
      <c r="A154" s="2">
        <v>45065</v>
      </c>
      <c r="C154" s="1" t="s">
        <v>17</v>
      </c>
      <c r="D154" s="17"/>
      <c r="F154" s="16">
        <v>30</v>
      </c>
      <c r="G154" s="32">
        <v>446250.3</v>
      </c>
      <c r="H154" s="3">
        <f t="shared" si="12"/>
        <v>1250194.9600000002</v>
      </c>
      <c r="I154" s="4">
        <f t="shared" si="13"/>
        <v>18876819090.516022</v>
      </c>
    </row>
    <row r="155" spans="1:9" ht="15" customHeight="1" x14ac:dyDescent="0.2">
      <c r="A155" s="2">
        <v>45065</v>
      </c>
      <c r="C155" s="1" t="s">
        <v>256</v>
      </c>
      <c r="F155" s="151">
        <v>23000</v>
      </c>
      <c r="G155" s="152">
        <v>343459000</v>
      </c>
      <c r="H155" s="3">
        <f t="shared" si="12"/>
        <v>1227194.9600000002</v>
      </c>
      <c r="I155" s="4">
        <f t="shared" si="13"/>
        <v>18533360090.516022</v>
      </c>
    </row>
    <row r="156" spans="1:9" ht="15" customHeight="1" x14ac:dyDescent="0.2">
      <c r="A156" s="2">
        <v>45065</v>
      </c>
      <c r="C156" s="1" t="s">
        <v>256</v>
      </c>
      <c r="D156" s="156"/>
      <c r="E156" s="73"/>
      <c r="F156" s="154">
        <v>33017.599999999999</v>
      </c>
      <c r="G156" s="73">
        <v>491137130.18000001</v>
      </c>
      <c r="H156" s="3">
        <f t="shared" si="12"/>
        <v>1194177.3600000001</v>
      </c>
      <c r="I156" s="4">
        <f t="shared" si="13"/>
        <v>18042222960.336021</v>
      </c>
    </row>
    <row r="157" spans="1:9" ht="15" customHeight="1" x14ac:dyDescent="0.2">
      <c r="A157" s="2">
        <v>45065</v>
      </c>
      <c r="C157" s="1" t="s">
        <v>256</v>
      </c>
      <c r="D157" s="156"/>
      <c r="E157" s="73"/>
      <c r="F157" s="154">
        <v>128848.51</v>
      </c>
      <c r="G157" s="73">
        <v>1905927159.9200001</v>
      </c>
      <c r="H157" s="3">
        <f t="shared" si="12"/>
        <v>1065328.8500000001</v>
      </c>
      <c r="I157" s="4">
        <f t="shared" si="13"/>
        <v>16136295800.416021</v>
      </c>
    </row>
    <row r="158" spans="1:9" ht="15" customHeight="1" x14ac:dyDescent="0.2">
      <c r="A158" s="2">
        <v>45069</v>
      </c>
      <c r="C158" s="1" t="s">
        <v>263</v>
      </c>
      <c r="D158" s="17"/>
      <c r="F158" s="159">
        <v>59747.39</v>
      </c>
      <c r="G158" s="32">
        <v>890056868.83000004</v>
      </c>
      <c r="H158" s="3">
        <f t="shared" si="12"/>
        <v>1005581.4600000001</v>
      </c>
      <c r="I158" s="4">
        <f t="shared" si="13"/>
        <v>15246238931.586021</v>
      </c>
    </row>
    <row r="159" spans="1:9" ht="15" customHeight="1" x14ac:dyDescent="0.2">
      <c r="A159" s="2">
        <v>45069</v>
      </c>
      <c r="C159" s="1" t="s">
        <v>17</v>
      </c>
      <c r="D159" s="17"/>
      <c r="F159" s="159">
        <v>42</v>
      </c>
      <c r="G159" s="32">
        <v>625674</v>
      </c>
      <c r="H159" s="3">
        <f t="shared" si="12"/>
        <v>1005539.4600000001</v>
      </c>
      <c r="I159" s="4">
        <f t="shared" si="13"/>
        <v>15245613257.586021</v>
      </c>
    </row>
    <row r="160" spans="1:9" ht="15" customHeight="1" x14ac:dyDescent="0.2">
      <c r="A160" s="2">
        <v>45076</v>
      </c>
      <c r="C160" s="1" t="s">
        <v>260</v>
      </c>
      <c r="D160" s="17"/>
      <c r="F160" s="16">
        <v>142899.26</v>
      </c>
      <c r="G160" s="32">
        <v>2139630619.98</v>
      </c>
      <c r="H160" s="3">
        <f t="shared" si="12"/>
        <v>862640.20000000007</v>
      </c>
      <c r="I160" s="4">
        <f t="shared" si="13"/>
        <v>13105982637.606022</v>
      </c>
    </row>
    <row r="161" spans="1:9" ht="15" customHeight="1" x14ac:dyDescent="0.2">
      <c r="A161" s="2">
        <v>45076</v>
      </c>
      <c r="C161" s="1" t="s">
        <v>17</v>
      </c>
      <c r="D161" s="156"/>
      <c r="E161" s="73"/>
      <c r="F161" s="161">
        <v>30</v>
      </c>
      <c r="G161" s="73">
        <v>449190</v>
      </c>
      <c r="H161" s="3">
        <f t="shared" si="12"/>
        <v>862610.20000000007</v>
      </c>
      <c r="I161" s="4">
        <f t="shared" si="13"/>
        <v>13105533447.606022</v>
      </c>
    </row>
    <row r="162" spans="1:9" ht="15" customHeight="1" x14ac:dyDescent="0.2">
      <c r="A162" s="2">
        <v>45076</v>
      </c>
      <c r="C162" s="1" t="s">
        <v>260</v>
      </c>
      <c r="D162" s="156"/>
      <c r="E162" s="73"/>
      <c r="F162" s="161">
        <v>142899.26</v>
      </c>
      <c r="G162" s="73">
        <v>2139630619.98</v>
      </c>
      <c r="H162" s="3">
        <f t="shared" si="12"/>
        <v>719710.94000000006</v>
      </c>
      <c r="I162" s="4">
        <f t="shared" si="13"/>
        <v>10965902827.626022</v>
      </c>
    </row>
    <row r="163" spans="1:9" ht="15" customHeight="1" x14ac:dyDescent="0.2">
      <c r="A163" s="2">
        <v>45076</v>
      </c>
      <c r="C163" s="1" t="s">
        <v>17</v>
      </c>
      <c r="D163" s="156"/>
      <c r="E163" s="73"/>
      <c r="F163" s="161">
        <v>30</v>
      </c>
      <c r="G163" s="73">
        <v>449190</v>
      </c>
      <c r="H163" s="3">
        <f t="shared" si="12"/>
        <v>719680.94000000006</v>
      </c>
      <c r="I163" s="4">
        <f t="shared" si="13"/>
        <v>10965453637.626022</v>
      </c>
    </row>
    <row r="164" spans="1:9" ht="15" customHeight="1" x14ac:dyDescent="0.2">
      <c r="A164" s="2">
        <v>45076</v>
      </c>
      <c r="C164" s="1" t="s">
        <v>256</v>
      </c>
      <c r="D164" s="156"/>
      <c r="E164" s="73"/>
      <c r="F164" s="150">
        <v>25640.400000000001</v>
      </c>
      <c r="G164" s="140">
        <v>401067136.80000001</v>
      </c>
      <c r="H164" s="3">
        <f t="shared" si="12"/>
        <v>694040.54</v>
      </c>
      <c r="I164" s="4">
        <f t="shared" si="13"/>
        <v>10564386500.826023</v>
      </c>
    </row>
    <row r="165" spans="1:9" ht="15" customHeight="1" x14ac:dyDescent="0.2">
      <c r="A165" s="2">
        <v>45076</v>
      </c>
      <c r="C165" s="2" t="s">
        <v>256</v>
      </c>
      <c r="D165" s="156"/>
      <c r="E165" s="73"/>
      <c r="F165" s="150">
        <v>46996.160000000003</v>
      </c>
      <c r="G165" s="140">
        <v>711521862.39999998</v>
      </c>
      <c r="H165" s="3">
        <f t="shared" si="12"/>
        <v>647044.38</v>
      </c>
      <c r="I165" s="4">
        <f t="shared" si="13"/>
        <v>9852864638.4260235</v>
      </c>
    </row>
    <row r="166" spans="1:9" ht="15" customHeight="1" x14ac:dyDescent="0.2">
      <c r="A166" s="2">
        <v>45077</v>
      </c>
      <c r="C166" s="1" t="s">
        <v>18</v>
      </c>
      <c r="D166" s="17"/>
      <c r="E166" s="32">
        <f>165046763.09-456480</f>
        <v>164590283.09</v>
      </c>
      <c r="F166" s="17"/>
      <c r="H166" s="6">
        <f t="shared" si="12"/>
        <v>647044.38</v>
      </c>
      <c r="I166" s="7">
        <f t="shared" si="13"/>
        <v>10017454921.516024</v>
      </c>
    </row>
    <row r="168" spans="1:9" ht="15" customHeight="1" x14ac:dyDescent="0.2">
      <c r="H168" s="3">
        <f>+H166+UM!H327</f>
        <v>-1257356.3599999999</v>
      </c>
      <c r="I168" s="4">
        <f>+I166+UM!I327</f>
        <v>-18661274031.449982</v>
      </c>
    </row>
    <row r="169" spans="1:9" ht="15" customHeight="1" x14ac:dyDescent="0.2">
      <c r="H169" s="4">
        <v>-1267356.3599999996</v>
      </c>
      <c r="I169" s="4">
        <v>-18945222149.222202</v>
      </c>
    </row>
    <row r="170" spans="1:9" ht="15" customHeight="1" x14ac:dyDescent="0.2">
      <c r="H170" s="4">
        <f>+H168-H169</f>
        <v>9999.9999999997672</v>
      </c>
      <c r="I170" s="4">
        <f>+I169-I168</f>
        <v>-283948117.77222061</v>
      </c>
    </row>
    <row r="172" spans="1:9" ht="15" customHeight="1" x14ac:dyDescent="0.2">
      <c r="A172" s="2">
        <v>45085</v>
      </c>
      <c r="C172" s="1" t="s">
        <v>277</v>
      </c>
      <c r="D172" s="66">
        <v>218676.04</v>
      </c>
      <c r="E172" s="32">
        <v>3276204431.2800002</v>
      </c>
      <c r="H172" s="3">
        <f>+H166+D172-F172</f>
        <v>865720.42</v>
      </c>
      <c r="I172" s="4">
        <f>+I166+E172-G172</f>
        <v>13293659352.796024</v>
      </c>
    </row>
    <row r="173" spans="1:9" ht="15" customHeight="1" x14ac:dyDescent="0.2">
      <c r="A173" s="2">
        <v>45091</v>
      </c>
      <c r="C173" s="1" t="s">
        <v>40</v>
      </c>
      <c r="D173" s="66">
        <v>128101.74</v>
      </c>
      <c r="E173" s="32">
        <v>1905129077.28</v>
      </c>
      <c r="H173" s="3">
        <f>+H172+D173-F173</f>
        <v>993822.16</v>
      </c>
      <c r="I173" s="4">
        <f>+I172+E173-G173</f>
        <v>15198788430.076025</v>
      </c>
    </row>
    <row r="174" spans="1:9" ht="15" customHeight="1" x14ac:dyDescent="0.2">
      <c r="A174" s="2">
        <v>45092</v>
      </c>
      <c r="C174" s="1" t="s">
        <v>40</v>
      </c>
      <c r="D174" s="66">
        <v>132585.10999999999</v>
      </c>
      <c r="E174" s="32">
        <v>1971805755.9200001</v>
      </c>
      <c r="F174" s="32"/>
      <c r="H174" s="3">
        <f t="shared" ref="H174:H207" si="14">+H173+D174-F174</f>
        <v>1126407.27</v>
      </c>
      <c r="I174" s="4">
        <f t="shared" ref="I174:I207" si="15">+I173+E174-G174</f>
        <v>17170594185.996025</v>
      </c>
    </row>
    <row r="175" spans="1:9" ht="15" customHeight="1" x14ac:dyDescent="0.2">
      <c r="A175" s="2">
        <v>45092</v>
      </c>
      <c r="C175" s="1" t="s">
        <v>16</v>
      </c>
      <c r="D175" s="171">
        <v>94308.85</v>
      </c>
      <c r="E175" s="32">
        <v>1402561217.2</v>
      </c>
      <c r="H175" s="3">
        <f t="shared" si="14"/>
        <v>1220716.1200000001</v>
      </c>
      <c r="I175" s="4">
        <f t="shared" si="15"/>
        <v>18573155403.196026</v>
      </c>
    </row>
    <row r="176" spans="1:9" ht="15" customHeight="1" x14ac:dyDescent="0.2">
      <c r="A176" s="2">
        <v>45098</v>
      </c>
      <c r="C176" s="1" t="s">
        <v>278</v>
      </c>
      <c r="D176" s="14">
        <v>74561.39</v>
      </c>
      <c r="E176" s="32">
        <v>1111337517.95</v>
      </c>
      <c r="H176" s="3">
        <f t="shared" si="14"/>
        <v>1295277.51</v>
      </c>
      <c r="I176" s="4">
        <f t="shared" si="15"/>
        <v>19684492921.146027</v>
      </c>
    </row>
    <row r="177" spans="1:9" ht="15" customHeight="1" x14ac:dyDescent="0.2">
      <c r="A177" s="2">
        <v>45098</v>
      </c>
      <c r="C177" s="1" t="s">
        <v>278</v>
      </c>
      <c r="D177" s="16">
        <v>74462.820000000007</v>
      </c>
      <c r="E177" s="32">
        <v>1109868332.0999999</v>
      </c>
      <c r="H177" s="3">
        <f t="shared" si="14"/>
        <v>1369740.33</v>
      </c>
      <c r="I177" s="4">
        <f t="shared" si="15"/>
        <v>20794361253.246025</v>
      </c>
    </row>
    <row r="178" spans="1:9" ht="15" customHeight="1" x14ac:dyDescent="0.2">
      <c r="A178" s="2">
        <v>45098</v>
      </c>
      <c r="C178" s="1" t="s">
        <v>40</v>
      </c>
      <c r="D178" s="66">
        <v>129353.22</v>
      </c>
      <c r="E178" s="32">
        <v>1928009744.0999999</v>
      </c>
      <c r="H178" s="3">
        <f t="shared" si="14"/>
        <v>1499093.55</v>
      </c>
      <c r="I178" s="4">
        <f t="shared" si="15"/>
        <v>22722370997.346024</v>
      </c>
    </row>
    <row r="179" spans="1:9" ht="15" customHeight="1" x14ac:dyDescent="0.2">
      <c r="A179" s="2">
        <v>45098</v>
      </c>
      <c r="C179" s="1" t="s">
        <v>40</v>
      </c>
      <c r="D179" s="66">
        <v>128629.62</v>
      </c>
      <c r="E179" s="32">
        <v>1917224486.0999999</v>
      </c>
      <c r="F179" s="32"/>
      <c r="H179" s="3">
        <f t="shared" si="14"/>
        <v>1627723.17</v>
      </c>
      <c r="I179" s="4">
        <f t="shared" si="15"/>
        <v>24639595483.446022</v>
      </c>
    </row>
    <row r="180" spans="1:9" ht="15" customHeight="1" x14ac:dyDescent="0.2">
      <c r="A180" s="2">
        <v>45105</v>
      </c>
      <c r="C180" s="1" t="s">
        <v>40</v>
      </c>
      <c r="D180" s="71">
        <v>255821.92</v>
      </c>
      <c r="E180" s="32">
        <v>3834003115.04</v>
      </c>
      <c r="H180" s="3">
        <f t="shared" si="14"/>
        <v>1883545.0899999999</v>
      </c>
      <c r="I180" s="4">
        <f t="shared" si="15"/>
        <v>28473598598.486023</v>
      </c>
    </row>
    <row r="181" spans="1:9" ht="15" customHeight="1" x14ac:dyDescent="0.2">
      <c r="A181" s="2">
        <v>45105</v>
      </c>
      <c r="C181" s="1" t="s">
        <v>40</v>
      </c>
      <c r="D181" s="169">
        <v>127374.47</v>
      </c>
      <c r="E181" s="32">
        <v>1908961181.8900001</v>
      </c>
      <c r="H181" s="3">
        <f t="shared" si="14"/>
        <v>2010919.5599999998</v>
      </c>
      <c r="I181" s="4">
        <f t="shared" si="15"/>
        <v>30382559780.376022</v>
      </c>
    </row>
    <row r="182" spans="1:9" ht="15" customHeight="1" x14ac:dyDescent="0.2">
      <c r="A182" s="2">
        <v>45085</v>
      </c>
      <c r="C182" s="1" t="s">
        <v>279</v>
      </c>
      <c r="F182" s="66">
        <v>177009.48</v>
      </c>
      <c r="G182" s="32">
        <v>2633017785.0900002</v>
      </c>
      <c r="H182" s="3">
        <f t="shared" si="14"/>
        <v>1833910.0799999998</v>
      </c>
      <c r="I182" s="4">
        <f t="shared" si="15"/>
        <v>27749541995.286022</v>
      </c>
    </row>
    <row r="183" spans="1:9" ht="15" customHeight="1" x14ac:dyDescent="0.2">
      <c r="A183" s="2">
        <v>45085</v>
      </c>
      <c r="C183" s="1" t="s">
        <v>17</v>
      </c>
      <c r="F183" s="66">
        <v>30</v>
      </c>
      <c r="G183" s="32">
        <v>446250.3</v>
      </c>
      <c r="H183" s="3">
        <f t="shared" si="14"/>
        <v>1833880.0799999998</v>
      </c>
      <c r="I183" s="4">
        <f t="shared" si="15"/>
        <v>27749095744.986023</v>
      </c>
    </row>
    <row r="184" spans="1:9" ht="15" customHeight="1" x14ac:dyDescent="0.2">
      <c r="A184" s="2">
        <v>45085</v>
      </c>
      <c r="C184" s="1" t="s">
        <v>256</v>
      </c>
      <c r="F184" s="166">
        <v>41636.559999999998</v>
      </c>
      <c r="G184" s="140">
        <v>630377518.39999998</v>
      </c>
      <c r="H184" s="3">
        <f t="shared" si="14"/>
        <v>1792243.5199999998</v>
      </c>
      <c r="I184" s="4">
        <f t="shared" si="15"/>
        <v>27118718226.586021</v>
      </c>
    </row>
    <row r="185" spans="1:9" ht="15" customHeight="1" x14ac:dyDescent="0.2">
      <c r="A185" s="2">
        <v>45086</v>
      </c>
      <c r="C185" s="1" t="s">
        <v>282</v>
      </c>
      <c r="F185" s="16">
        <v>59648.82</v>
      </c>
      <c r="G185" s="32">
        <v>888946364.46000004</v>
      </c>
      <c r="H185" s="3">
        <f t="shared" si="14"/>
        <v>1732594.6999999997</v>
      </c>
      <c r="I185" s="4">
        <f t="shared" si="15"/>
        <v>26229771862.126022</v>
      </c>
    </row>
    <row r="186" spans="1:9" ht="15" customHeight="1" x14ac:dyDescent="0.2">
      <c r="A186" s="2">
        <v>45086</v>
      </c>
      <c r="C186" s="1" t="s">
        <v>17</v>
      </c>
      <c r="F186" s="16">
        <v>42</v>
      </c>
      <c r="G186" s="32">
        <v>625926</v>
      </c>
      <c r="H186" s="3">
        <f t="shared" si="14"/>
        <v>1732552.6999999997</v>
      </c>
      <c r="I186" s="4">
        <f t="shared" si="15"/>
        <v>26229145936.126022</v>
      </c>
    </row>
    <row r="187" spans="1:9" ht="15" customHeight="1" x14ac:dyDescent="0.2">
      <c r="A187" s="2">
        <v>45086</v>
      </c>
      <c r="C187" s="1" t="s">
        <v>256</v>
      </c>
      <c r="D187" s="156"/>
      <c r="E187" s="73"/>
      <c r="F187" s="150">
        <v>14772</v>
      </c>
      <c r="G187" s="140">
        <v>227621748</v>
      </c>
      <c r="H187" s="3">
        <f t="shared" si="14"/>
        <v>1717780.6999999997</v>
      </c>
      <c r="I187" s="4">
        <f t="shared" si="15"/>
        <v>26001524188.126022</v>
      </c>
    </row>
    <row r="188" spans="1:9" ht="15" customHeight="1" x14ac:dyDescent="0.2">
      <c r="A188" s="2">
        <v>45092</v>
      </c>
      <c r="C188" s="1" t="s">
        <v>287</v>
      </c>
      <c r="F188" s="66">
        <v>99353.22</v>
      </c>
      <c r="G188" s="32">
        <v>1479866211.9000001</v>
      </c>
      <c r="H188" s="3">
        <f t="shared" si="14"/>
        <v>1618427.4799999997</v>
      </c>
      <c r="I188" s="4">
        <f t="shared" si="15"/>
        <v>24521657976.226021</v>
      </c>
    </row>
    <row r="189" spans="1:9" ht="15" customHeight="1" x14ac:dyDescent="0.2">
      <c r="A189" s="2">
        <v>45092</v>
      </c>
      <c r="C189" s="1" t="s">
        <v>256</v>
      </c>
      <c r="D189" s="24"/>
      <c r="E189" s="73"/>
      <c r="F189" s="166">
        <v>10000</v>
      </c>
      <c r="G189" s="140">
        <v>153800000</v>
      </c>
      <c r="H189" s="3">
        <f t="shared" si="14"/>
        <v>1608427.4799999997</v>
      </c>
      <c r="I189" s="4">
        <f t="shared" si="15"/>
        <v>24367857976.226021</v>
      </c>
    </row>
    <row r="190" spans="1:9" ht="15" customHeight="1" x14ac:dyDescent="0.2">
      <c r="A190" s="2">
        <v>45092</v>
      </c>
      <c r="C190" s="1" t="s">
        <v>256</v>
      </c>
      <c r="F190" s="167">
        <v>20000</v>
      </c>
      <c r="G190" s="152">
        <v>298660000</v>
      </c>
      <c r="H190" s="3">
        <f t="shared" si="14"/>
        <v>1588427.4799999997</v>
      </c>
      <c r="I190" s="4">
        <f t="shared" si="15"/>
        <v>24069197976.226021</v>
      </c>
    </row>
    <row r="191" spans="1:9" ht="15" customHeight="1" x14ac:dyDescent="0.2">
      <c r="A191" s="2">
        <v>45092</v>
      </c>
      <c r="C191" s="1" t="s">
        <v>256</v>
      </c>
      <c r="F191" s="170">
        <v>94308.85</v>
      </c>
      <c r="G191" s="152">
        <v>1409257145.55</v>
      </c>
      <c r="H191" s="3">
        <f t="shared" si="14"/>
        <v>1494118.6299999997</v>
      </c>
      <c r="I191" s="4">
        <f t="shared" si="15"/>
        <v>22659940830.676022</v>
      </c>
    </row>
    <row r="192" spans="1:9" ht="15" customHeight="1" x14ac:dyDescent="0.2">
      <c r="A192" s="2">
        <v>45092</v>
      </c>
      <c r="C192" s="1" t="s">
        <v>290</v>
      </c>
      <c r="F192" s="66">
        <v>105071.74</v>
      </c>
      <c r="G192" s="32">
        <v>1565043567.3</v>
      </c>
      <c r="H192" s="3">
        <f t="shared" si="14"/>
        <v>1389046.8899999997</v>
      </c>
      <c r="I192" s="4">
        <f t="shared" si="15"/>
        <v>21094897263.376022</v>
      </c>
    </row>
    <row r="193" spans="1:9" ht="15" customHeight="1" x14ac:dyDescent="0.2">
      <c r="A193" s="2">
        <v>45092</v>
      </c>
      <c r="C193" s="1" t="s">
        <v>17</v>
      </c>
      <c r="F193" s="66">
        <v>30</v>
      </c>
      <c r="G193" s="32">
        <v>446850</v>
      </c>
      <c r="H193" s="3">
        <f t="shared" si="14"/>
        <v>1389016.8899999997</v>
      </c>
      <c r="I193" s="4">
        <f t="shared" si="15"/>
        <v>21094450413.376022</v>
      </c>
    </row>
    <row r="194" spans="1:9" ht="15" customHeight="1" x14ac:dyDescent="0.2">
      <c r="A194" s="2">
        <v>45092</v>
      </c>
      <c r="C194" s="1" t="s">
        <v>256</v>
      </c>
      <c r="F194" s="167">
        <v>23000</v>
      </c>
      <c r="G194" s="152">
        <v>343459000</v>
      </c>
      <c r="H194" s="3">
        <f t="shared" si="14"/>
        <v>1366016.8899999997</v>
      </c>
      <c r="I194" s="4">
        <f t="shared" si="15"/>
        <v>20750991413.376022</v>
      </c>
    </row>
    <row r="195" spans="1:9" ht="15" customHeight="1" x14ac:dyDescent="0.2">
      <c r="A195" s="2">
        <v>45098</v>
      </c>
      <c r="C195" s="1" t="s">
        <v>256</v>
      </c>
      <c r="D195" s="24"/>
      <c r="E195" s="73"/>
      <c r="F195" s="131">
        <v>14772</v>
      </c>
      <c r="G195" s="140">
        <v>228862596</v>
      </c>
      <c r="H195" s="3">
        <f t="shared" si="14"/>
        <v>1351244.8899999997</v>
      </c>
      <c r="I195" s="4">
        <f t="shared" si="15"/>
        <v>20522128817.376022</v>
      </c>
    </row>
    <row r="196" spans="1:9" ht="15" customHeight="1" x14ac:dyDescent="0.2">
      <c r="A196" s="2">
        <v>45103</v>
      </c>
      <c r="C196" s="1" t="s">
        <v>280</v>
      </c>
      <c r="F196" s="66">
        <v>109555.11</v>
      </c>
      <c r="G196" s="32">
        <v>1643107539.78</v>
      </c>
      <c r="H196" s="3">
        <f t="shared" si="14"/>
        <v>1241689.7799999996</v>
      </c>
      <c r="I196" s="4">
        <f t="shared" si="15"/>
        <v>18879021277.596024</v>
      </c>
    </row>
    <row r="197" spans="1:9" ht="15" customHeight="1" x14ac:dyDescent="0.2">
      <c r="A197" s="2">
        <v>45103</v>
      </c>
      <c r="C197" s="1" t="s">
        <v>17</v>
      </c>
      <c r="F197" s="66">
        <v>30</v>
      </c>
      <c r="G197" s="32">
        <v>449940</v>
      </c>
      <c r="H197" s="3">
        <f t="shared" si="14"/>
        <v>1241659.7799999996</v>
      </c>
      <c r="I197" s="4">
        <f t="shared" si="15"/>
        <v>18878571337.596024</v>
      </c>
    </row>
    <row r="198" spans="1:9" ht="15" customHeight="1" x14ac:dyDescent="0.2">
      <c r="A198" s="2">
        <v>45103</v>
      </c>
      <c r="C198" s="1" t="s">
        <v>256</v>
      </c>
      <c r="F198" s="167">
        <v>23000</v>
      </c>
      <c r="G198" s="152">
        <v>343459000</v>
      </c>
      <c r="H198" s="3">
        <f t="shared" si="14"/>
        <v>1218659.7799999996</v>
      </c>
      <c r="I198" s="4">
        <f t="shared" si="15"/>
        <v>18535112337.596024</v>
      </c>
    </row>
    <row r="199" spans="1:9" ht="15" customHeight="1" x14ac:dyDescent="0.2">
      <c r="A199" s="2">
        <v>45104</v>
      </c>
      <c r="C199" s="1" t="s">
        <v>281</v>
      </c>
      <c r="F199" s="66">
        <v>105599.62</v>
      </c>
      <c r="G199" s="32">
        <v>1586739890.1199999</v>
      </c>
      <c r="H199" s="3">
        <f t="shared" si="14"/>
        <v>1113060.1599999997</v>
      </c>
      <c r="I199" s="4">
        <f t="shared" si="15"/>
        <v>16948372447.476025</v>
      </c>
    </row>
    <row r="200" spans="1:9" ht="15" customHeight="1" x14ac:dyDescent="0.2">
      <c r="A200" s="2">
        <v>45104</v>
      </c>
      <c r="C200" s="1" t="s">
        <v>17</v>
      </c>
      <c r="F200" s="66">
        <v>30</v>
      </c>
      <c r="G200" s="32">
        <v>450780</v>
      </c>
      <c r="H200" s="3">
        <f t="shared" si="14"/>
        <v>1113030.1599999997</v>
      </c>
      <c r="I200" s="4">
        <f t="shared" si="15"/>
        <v>16947921667.476025</v>
      </c>
    </row>
    <row r="201" spans="1:9" ht="15" customHeight="1" x14ac:dyDescent="0.2">
      <c r="A201" s="2">
        <v>45104</v>
      </c>
      <c r="C201" s="1" t="s">
        <v>256</v>
      </c>
      <c r="F201" s="167">
        <v>23000</v>
      </c>
      <c r="G201" s="152">
        <v>343459000</v>
      </c>
      <c r="H201" s="3">
        <f t="shared" si="14"/>
        <v>1090030.1599999997</v>
      </c>
      <c r="I201" s="4">
        <f t="shared" si="15"/>
        <v>16604462667.476025</v>
      </c>
    </row>
    <row r="202" spans="1:9" ht="15" customHeight="1" x14ac:dyDescent="0.2">
      <c r="A202" s="2">
        <v>45105</v>
      </c>
      <c r="C202" s="1" t="s">
        <v>256</v>
      </c>
      <c r="F202" s="168">
        <v>20909.599999999999</v>
      </c>
      <c r="G202" s="152">
        <v>312243056.80000001</v>
      </c>
      <c r="H202" s="3">
        <f t="shared" si="14"/>
        <v>1069120.5599999996</v>
      </c>
      <c r="I202" s="4">
        <f t="shared" si="15"/>
        <v>16292219610.676025</v>
      </c>
    </row>
    <row r="203" spans="1:9" ht="15" customHeight="1" x14ac:dyDescent="0.2">
      <c r="A203" s="2">
        <v>45105</v>
      </c>
      <c r="C203" s="1" t="s">
        <v>256</v>
      </c>
      <c r="F203" s="71">
        <v>20000</v>
      </c>
      <c r="G203" s="32">
        <v>298720000</v>
      </c>
      <c r="H203" s="3">
        <f t="shared" si="14"/>
        <v>1049120.5599999996</v>
      </c>
      <c r="I203" s="4">
        <f t="shared" si="15"/>
        <v>15993499610.676025</v>
      </c>
    </row>
    <row r="204" spans="1:9" ht="15" customHeight="1" x14ac:dyDescent="0.2">
      <c r="A204" s="2">
        <v>45105</v>
      </c>
      <c r="C204" s="1" t="s">
        <v>256</v>
      </c>
      <c r="F204" s="169">
        <v>20000</v>
      </c>
      <c r="G204" s="32">
        <v>298720000</v>
      </c>
      <c r="H204" s="3">
        <f t="shared" si="14"/>
        <v>1029120.5599999996</v>
      </c>
      <c r="I204" s="4">
        <f t="shared" si="15"/>
        <v>15694779610.676025</v>
      </c>
    </row>
    <row r="205" spans="1:9" ht="15" customHeight="1" x14ac:dyDescent="0.2">
      <c r="A205" s="2">
        <v>45105</v>
      </c>
      <c r="C205" s="1" t="s">
        <v>292</v>
      </c>
      <c r="F205" s="14">
        <v>91250.34</v>
      </c>
      <c r="G205" s="32">
        <v>1371127608.8399999</v>
      </c>
      <c r="H205" s="3">
        <f t="shared" si="14"/>
        <v>937870.21999999962</v>
      </c>
      <c r="I205" s="4">
        <f t="shared" si="15"/>
        <v>14323652001.836025</v>
      </c>
    </row>
    <row r="206" spans="1:9" ht="15" customHeight="1" x14ac:dyDescent="0.2">
      <c r="A206" s="2">
        <v>45105</v>
      </c>
      <c r="C206" s="1" t="s">
        <v>17</v>
      </c>
      <c r="F206" s="14">
        <v>62</v>
      </c>
      <c r="G206" s="32">
        <v>931612</v>
      </c>
      <c r="H206" s="3">
        <f t="shared" si="14"/>
        <v>937808.21999999962</v>
      </c>
      <c r="I206" s="4">
        <f t="shared" si="15"/>
        <v>14322720389.836025</v>
      </c>
    </row>
    <row r="207" spans="1:9" ht="15" customHeight="1" x14ac:dyDescent="0.2">
      <c r="A207" s="2">
        <v>45107</v>
      </c>
      <c r="C207" s="1" t="s">
        <v>18</v>
      </c>
      <c r="E207" s="32">
        <v>43469975.399999</v>
      </c>
      <c r="H207" s="3">
        <f t="shared" si="14"/>
        <v>937808.21999999962</v>
      </c>
      <c r="I207" s="4">
        <f t="shared" si="15"/>
        <v>14366190365.236025</v>
      </c>
    </row>
    <row r="209" spans="1:9" ht="15" customHeight="1" x14ac:dyDescent="0.2">
      <c r="H209" s="3">
        <f>+H207+UM!H345</f>
        <v>-681219.50999999989</v>
      </c>
      <c r="I209" s="4">
        <f>+I207+UM!I345</f>
        <v>-10019268141.759981</v>
      </c>
    </row>
    <row r="210" spans="1:9" ht="15" customHeight="1" x14ac:dyDescent="0.2">
      <c r="H210" s="3">
        <v>-691219.50999999954</v>
      </c>
      <c r="I210" s="4">
        <v>-10303216259.528202</v>
      </c>
    </row>
    <row r="211" spans="1:9" ht="15" customHeight="1" x14ac:dyDescent="0.2">
      <c r="H211" s="3">
        <f>+H209-H210</f>
        <v>9999.9999999996508</v>
      </c>
      <c r="I211" s="4">
        <f>+I209-I210</f>
        <v>283948117.7682209</v>
      </c>
    </row>
    <row r="214" spans="1:9" ht="12.75" x14ac:dyDescent="0.2">
      <c r="A214" s="2">
        <v>45112</v>
      </c>
      <c r="C214" s="1" t="s">
        <v>278</v>
      </c>
      <c r="D214" s="16">
        <v>74004.11</v>
      </c>
      <c r="E214" s="32">
        <v>1111023703.4300001</v>
      </c>
      <c r="H214" s="3">
        <f>+H207+D214-F214</f>
        <v>1011812.3299999996</v>
      </c>
      <c r="I214" s="4">
        <f>+I207+E214-G214</f>
        <v>15477214068.666025</v>
      </c>
    </row>
    <row r="215" spans="1:9" ht="15" customHeight="1" x14ac:dyDescent="0.2">
      <c r="A215" s="2">
        <v>45119</v>
      </c>
      <c r="C215" s="1" t="s">
        <v>278</v>
      </c>
      <c r="D215" s="16">
        <v>72933.350000000006</v>
      </c>
      <c r="E215" s="32">
        <v>1097865717.55</v>
      </c>
      <c r="H215" s="3">
        <f>+H214+D215-F215</f>
        <v>1084745.6799999997</v>
      </c>
      <c r="I215" s="4">
        <f>+I214+E215-G215</f>
        <v>16575079786.216024</v>
      </c>
    </row>
    <row r="216" spans="1:9" ht="15" customHeight="1" x14ac:dyDescent="0.2">
      <c r="A216" s="2">
        <v>45125</v>
      </c>
      <c r="C216" s="1" t="s">
        <v>278</v>
      </c>
      <c r="D216" s="16">
        <v>71439.509999999995</v>
      </c>
      <c r="E216" s="32">
        <v>1075378944.03</v>
      </c>
      <c r="H216" s="3">
        <f t="shared" ref="H216:H260" si="16">+H215+D216-F216</f>
        <v>1156185.1899999997</v>
      </c>
      <c r="I216" s="4">
        <f t="shared" ref="I216:I260" si="17">+I215+E216-G216</f>
        <v>17650458730.246025</v>
      </c>
    </row>
    <row r="217" spans="1:9" ht="15" customHeight="1" x14ac:dyDescent="0.2">
      <c r="A217" s="2">
        <v>45125</v>
      </c>
      <c r="C217" s="1" t="s">
        <v>316</v>
      </c>
      <c r="D217" s="3">
        <v>68890</v>
      </c>
      <c r="E217" s="32">
        <v>1037001170</v>
      </c>
      <c r="H217" s="3">
        <f t="shared" si="16"/>
        <v>1225075.1899999997</v>
      </c>
      <c r="I217" s="4">
        <f t="shared" si="17"/>
        <v>18687459900.246025</v>
      </c>
    </row>
    <row r="218" spans="1:9" ht="15" customHeight="1" x14ac:dyDescent="0.2">
      <c r="A218" s="2">
        <v>45127</v>
      </c>
      <c r="C218" s="1" t="s">
        <v>317</v>
      </c>
      <c r="D218" s="14">
        <v>135982.34</v>
      </c>
      <c r="E218" s="32">
        <v>2049661810.8199999</v>
      </c>
      <c r="H218" s="3">
        <f t="shared" si="16"/>
        <v>1361057.5299999998</v>
      </c>
      <c r="I218" s="4">
        <f t="shared" si="17"/>
        <v>20737121711.066025</v>
      </c>
    </row>
    <row r="219" spans="1:9" ht="15" customHeight="1" x14ac:dyDescent="0.2">
      <c r="A219" s="2">
        <v>45127</v>
      </c>
      <c r="C219" s="1" t="s">
        <v>40</v>
      </c>
      <c r="D219" s="66">
        <v>254103.39</v>
      </c>
      <c r="E219" s="32">
        <v>3830100397.4699998</v>
      </c>
      <c r="H219" s="3">
        <f t="shared" si="16"/>
        <v>1615160.92</v>
      </c>
      <c r="I219" s="4">
        <f t="shared" si="17"/>
        <v>24567222108.536026</v>
      </c>
    </row>
    <row r="220" spans="1:9" ht="15" customHeight="1" x14ac:dyDescent="0.2">
      <c r="A220" s="2">
        <v>45128</v>
      </c>
      <c r="C220" s="1" t="s">
        <v>55</v>
      </c>
      <c r="D220" s="196">
        <v>70435.22</v>
      </c>
      <c r="E220" s="32">
        <v>1061670071.0599999</v>
      </c>
      <c r="H220" s="3">
        <f t="shared" si="16"/>
        <v>1685596.14</v>
      </c>
      <c r="I220" s="4">
        <f t="shared" si="17"/>
        <v>25628892179.596027</v>
      </c>
    </row>
    <row r="221" spans="1:9" ht="15" customHeight="1" x14ac:dyDescent="0.2">
      <c r="A221" s="2">
        <v>45131</v>
      </c>
      <c r="C221" s="1" t="s">
        <v>40</v>
      </c>
      <c r="D221" s="171">
        <v>124118.14</v>
      </c>
      <c r="E221" s="32">
        <v>1870832724.22</v>
      </c>
      <c r="G221" s="17"/>
      <c r="H221" s="3">
        <f t="shared" si="16"/>
        <v>1809714.2799999998</v>
      </c>
      <c r="I221" s="4">
        <f t="shared" si="17"/>
        <v>27499724903.816029</v>
      </c>
    </row>
    <row r="222" spans="1:9" ht="15" customHeight="1" x14ac:dyDescent="0.2">
      <c r="A222" s="2">
        <v>45132</v>
      </c>
      <c r="C222" s="1" t="s">
        <v>40</v>
      </c>
      <c r="D222" s="171">
        <v>185618.82</v>
      </c>
      <c r="E222" s="32">
        <v>2797832473.8600001</v>
      </c>
      <c r="H222" s="3">
        <f t="shared" si="16"/>
        <v>1995333.0999999999</v>
      </c>
      <c r="I222" s="4">
        <f t="shared" si="17"/>
        <v>30297557377.676029</v>
      </c>
    </row>
    <row r="223" spans="1:9" ht="15" customHeight="1" x14ac:dyDescent="0.2">
      <c r="A223" s="2">
        <v>45135</v>
      </c>
      <c r="C223" s="1" t="s">
        <v>40</v>
      </c>
      <c r="D223" s="193">
        <v>124011.78</v>
      </c>
      <c r="E223" s="32">
        <v>1860796758.9000001</v>
      </c>
      <c r="H223" s="3">
        <f t="shared" si="16"/>
        <v>2119344.88</v>
      </c>
      <c r="I223" s="4">
        <f t="shared" si="17"/>
        <v>32158354136.576031</v>
      </c>
    </row>
    <row r="224" spans="1:9" ht="15" customHeight="1" x14ac:dyDescent="0.2">
      <c r="A224" s="2">
        <v>45135</v>
      </c>
      <c r="C224" s="1" t="s">
        <v>40</v>
      </c>
      <c r="D224" s="162">
        <v>122373.47</v>
      </c>
      <c r="E224" s="32">
        <v>1836213917.3499999</v>
      </c>
      <c r="H224" s="3">
        <f t="shared" si="16"/>
        <v>2241718.35</v>
      </c>
      <c r="I224" s="4">
        <f t="shared" si="17"/>
        <v>33994568053.926029</v>
      </c>
    </row>
    <row r="225" spans="1:9" ht="15" customHeight="1" x14ac:dyDescent="0.2">
      <c r="A225" s="2">
        <v>45110</v>
      </c>
      <c r="C225" s="1" t="s">
        <v>285</v>
      </c>
      <c r="F225" s="169">
        <v>107344.47</v>
      </c>
      <c r="G225" s="32">
        <v>1610167050</v>
      </c>
      <c r="H225" s="3">
        <f t="shared" si="16"/>
        <v>2134373.88</v>
      </c>
      <c r="I225" s="4">
        <f t="shared" si="17"/>
        <v>32384401003.926029</v>
      </c>
    </row>
    <row r="226" spans="1:9" ht="15" customHeight="1" x14ac:dyDescent="0.2">
      <c r="A226" s="2">
        <v>45110</v>
      </c>
      <c r="C226" s="1" t="s">
        <v>17</v>
      </c>
      <c r="F226" s="169">
        <v>30</v>
      </c>
      <c r="G226" s="32">
        <v>450000</v>
      </c>
      <c r="H226" s="3">
        <f t="shared" si="16"/>
        <v>2134343.88</v>
      </c>
      <c r="I226" s="4">
        <f t="shared" si="17"/>
        <v>32383951003.926029</v>
      </c>
    </row>
    <row r="227" spans="1:9" ht="15" customHeight="1" x14ac:dyDescent="0.2">
      <c r="A227" s="2">
        <v>45110</v>
      </c>
      <c r="B227" s="1"/>
      <c r="C227" s="1" t="s">
        <v>284</v>
      </c>
      <c r="F227" s="194">
        <v>214882.32</v>
      </c>
      <c r="G227" s="152">
        <v>3223234800</v>
      </c>
      <c r="H227" s="3">
        <f t="shared" si="16"/>
        <v>1919461.5599999998</v>
      </c>
      <c r="I227" s="4">
        <f t="shared" si="17"/>
        <v>29160716203.926029</v>
      </c>
    </row>
    <row r="228" spans="1:9" ht="15" customHeight="1" x14ac:dyDescent="0.2">
      <c r="A228" s="2">
        <v>45110</v>
      </c>
      <c r="B228" s="4"/>
      <c r="C228" s="4" t="s">
        <v>17</v>
      </c>
      <c r="F228" s="195">
        <v>30</v>
      </c>
      <c r="G228" s="32">
        <v>450000</v>
      </c>
      <c r="H228" s="3">
        <f t="shared" si="16"/>
        <v>1919431.5599999998</v>
      </c>
      <c r="I228" s="4">
        <f t="shared" si="17"/>
        <v>29160266203.926029</v>
      </c>
    </row>
    <row r="229" spans="1:9" ht="15" customHeight="1" x14ac:dyDescent="0.2">
      <c r="A229" s="2">
        <v>45112</v>
      </c>
      <c r="C229" s="1" t="s">
        <v>318</v>
      </c>
      <c r="F229" s="16">
        <v>58790.11</v>
      </c>
      <c r="G229" s="32">
        <v>882909871.98000002</v>
      </c>
      <c r="H229" s="3">
        <f t="shared" si="16"/>
        <v>1860641.4499999997</v>
      </c>
      <c r="I229" s="4">
        <f t="shared" si="17"/>
        <v>28277356331.94603</v>
      </c>
    </row>
    <row r="230" spans="1:9" ht="15" customHeight="1" x14ac:dyDescent="0.2">
      <c r="A230" s="2">
        <v>45112</v>
      </c>
      <c r="C230" s="1" t="s">
        <v>17</v>
      </c>
      <c r="F230" s="16">
        <v>42</v>
      </c>
      <c r="G230" s="32">
        <v>630758</v>
      </c>
      <c r="H230" s="3">
        <f t="shared" si="16"/>
        <v>1860599.4499999997</v>
      </c>
      <c r="I230" s="4">
        <f t="shared" si="17"/>
        <v>28276725573.94603</v>
      </c>
    </row>
    <row r="231" spans="1:9" ht="15" customHeight="1" x14ac:dyDescent="0.2">
      <c r="A231" s="2">
        <v>45112</v>
      </c>
      <c r="B231" s="1"/>
      <c r="C231" s="1" t="s">
        <v>177</v>
      </c>
      <c r="D231" s="156"/>
      <c r="E231" s="73"/>
      <c r="F231" s="150">
        <v>15172</v>
      </c>
      <c r="G231" s="140">
        <v>235059796</v>
      </c>
      <c r="H231" s="3">
        <f t="shared" si="16"/>
        <v>1845427.4499999997</v>
      </c>
      <c r="I231" s="4">
        <f t="shared" si="17"/>
        <v>28041665777.94603</v>
      </c>
    </row>
    <row r="232" spans="1:9" ht="15" customHeight="1" x14ac:dyDescent="0.2">
      <c r="A232" s="2">
        <v>45113</v>
      </c>
      <c r="C232" s="1" t="s">
        <v>329</v>
      </c>
      <c r="F232" s="33">
        <v>1050</v>
      </c>
      <c r="G232" s="32">
        <v>15763650</v>
      </c>
      <c r="H232" s="3">
        <f t="shared" si="16"/>
        <v>1844377.4499999997</v>
      </c>
      <c r="I232" s="4">
        <f t="shared" si="17"/>
        <v>28025902127.94603</v>
      </c>
    </row>
    <row r="233" spans="1:9" ht="15" customHeight="1" x14ac:dyDescent="0.2">
      <c r="A233" s="2">
        <v>45118</v>
      </c>
      <c r="C233" s="1" t="s">
        <v>322</v>
      </c>
      <c r="F233" s="196">
        <v>48706.22</v>
      </c>
      <c r="G233" s="32">
        <v>739944894.24000001</v>
      </c>
      <c r="H233" s="3">
        <f t="shared" si="16"/>
        <v>1795671.2299999997</v>
      </c>
      <c r="I233" s="4">
        <f t="shared" si="17"/>
        <v>27285957233.706028</v>
      </c>
    </row>
    <row r="234" spans="1:9" ht="15" customHeight="1" x14ac:dyDescent="0.2">
      <c r="A234" s="2">
        <v>45118</v>
      </c>
      <c r="C234" s="1" t="s">
        <v>17</v>
      </c>
      <c r="F234" s="196">
        <v>51</v>
      </c>
      <c r="G234" s="32">
        <v>774792</v>
      </c>
      <c r="H234" s="3">
        <f t="shared" si="16"/>
        <v>1795620.2299999997</v>
      </c>
      <c r="I234" s="4">
        <f t="shared" si="17"/>
        <v>27285182441.706028</v>
      </c>
    </row>
    <row r="235" spans="1:9" ht="15" customHeight="1" x14ac:dyDescent="0.2">
      <c r="A235" s="2">
        <v>45118</v>
      </c>
      <c r="C235" s="1" t="s">
        <v>177</v>
      </c>
      <c r="F235" s="196">
        <v>21678</v>
      </c>
      <c r="G235" s="32">
        <v>322460466.77999997</v>
      </c>
      <c r="H235" s="3">
        <f t="shared" si="16"/>
        <v>1773942.2299999997</v>
      </c>
      <c r="I235" s="4">
        <f t="shared" si="17"/>
        <v>26962721974.926029</v>
      </c>
    </row>
    <row r="236" spans="1:9" ht="15" customHeight="1" x14ac:dyDescent="0.2">
      <c r="A236" s="2">
        <v>45121</v>
      </c>
      <c r="C236" s="1" t="s">
        <v>319</v>
      </c>
      <c r="D236" s="24"/>
      <c r="E236" s="73"/>
      <c r="F236" s="161">
        <v>57719.35</v>
      </c>
      <c r="G236" s="73">
        <v>864520424.29999995</v>
      </c>
      <c r="H236" s="3">
        <f t="shared" si="16"/>
        <v>1716222.8799999997</v>
      </c>
      <c r="I236" s="4">
        <f t="shared" si="17"/>
        <v>26098201550.62603</v>
      </c>
    </row>
    <row r="237" spans="1:9" ht="15" customHeight="1" x14ac:dyDescent="0.2">
      <c r="A237" s="2">
        <v>45121</v>
      </c>
      <c r="C237" s="1" t="s">
        <v>17</v>
      </c>
      <c r="F237" s="16">
        <v>42</v>
      </c>
      <c r="G237" s="32">
        <v>629076</v>
      </c>
      <c r="H237" s="3">
        <f t="shared" si="16"/>
        <v>1716180.8799999997</v>
      </c>
      <c r="I237" s="4">
        <f t="shared" si="17"/>
        <v>26097572474.62603</v>
      </c>
    </row>
    <row r="238" spans="1:9" ht="15" customHeight="1" x14ac:dyDescent="0.2">
      <c r="A238" s="2">
        <v>45121</v>
      </c>
      <c r="B238" s="1"/>
      <c r="C238" s="1" t="s">
        <v>177</v>
      </c>
      <c r="D238" s="24"/>
      <c r="E238" s="73"/>
      <c r="F238" s="150">
        <v>15172</v>
      </c>
      <c r="G238" s="140">
        <v>236258384</v>
      </c>
      <c r="H238" s="3">
        <f t="shared" si="16"/>
        <v>1701008.8799999997</v>
      </c>
      <c r="I238" s="4">
        <f t="shared" si="17"/>
        <v>25861314090.62603</v>
      </c>
    </row>
    <row r="239" spans="1:9" ht="15" customHeight="1" x14ac:dyDescent="0.2">
      <c r="A239" s="2">
        <v>45125</v>
      </c>
      <c r="C239" s="1" t="s">
        <v>320</v>
      </c>
      <c r="F239" s="16">
        <v>56625.51</v>
      </c>
      <c r="G239" s="32">
        <v>849779028.57000005</v>
      </c>
      <c r="H239" s="3">
        <f t="shared" si="16"/>
        <v>1644383.3699999996</v>
      </c>
      <c r="I239" s="4">
        <f t="shared" si="17"/>
        <v>25011535062.05603</v>
      </c>
    </row>
    <row r="240" spans="1:9" ht="15" customHeight="1" x14ac:dyDescent="0.2">
      <c r="A240" s="2">
        <v>45125</v>
      </c>
      <c r="C240" s="1" t="s">
        <v>17</v>
      </c>
      <c r="F240" s="16">
        <v>42</v>
      </c>
      <c r="G240" s="32">
        <v>630294</v>
      </c>
      <c r="H240" s="3">
        <f t="shared" si="16"/>
        <v>1644341.3699999996</v>
      </c>
      <c r="I240" s="4">
        <f t="shared" si="17"/>
        <v>25010904768.05603</v>
      </c>
    </row>
    <row r="241" spans="1:9" ht="15" customHeight="1" x14ac:dyDescent="0.2">
      <c r="A241" s="2">
        <v>45125</v>
      </c>
      <c r="B241" s="1"/>
      <c r="C241" s="1" t="s">
        <v>177</v>
      </c>
      <c r="D241" s="24"/>
      <c r="E241" s="73"/>
      <c r="F241" s="150">
        <v>14772</v>
      </c>
      <c r="G241" s="140">
        <v>230029584</v>
      </c>
      <c r="H241" s="3">
        <f t="shared" si="16"/>
        <v>1629569.3699999996</v>
      </c>
      <c r="I241" s="4">
        <f t="shared" si="17"/>
        <v>24780875184.05603</v>
      </c>
    </row>
    <row r="242" spans="1:9" ht="15" customHeight="1" x14ac:dyDescent="0.2">
      <c r="A242" s="2">
        <v>45127</v>
      </c>
      <c r="B242" s="1"/>
      <c r="C242" s="1" t="s">
        <v>177</v>
      </c>
      <c r="F242" s="164">
        <v>44670</v>
      </c>
      <c r="G242" s="32">
        <v>654906870</v>
      </c>
      <c r="H242" s="3">
        <f t="shared" si="16"/>
        <v>1584899.3699999996</v>
      </c>
      <c r="I242" s="4">
        <f t="shared" si="17"/>
        <v>24125968314.05603</v>
      </c>
    </row>
    <row r="243" spans="1:9" ht="15" customHeight="1" x14ac:dyDescent="0.2">
      <c r="A243" s="2">
        <v>45127</v>
      </c>
      <c r="B243" s="1"/>
      <c r="C243" s="1" t="s">
        <v>321</v>
      </c>
      <c r="F243" s="66">
        <v>206073.39</v>
      </c>
      <c r="G243" s="32">
        <v>3089864409.6599998</v>
      </c>
      <c r="H243" s="3">
        <f t="shared" ref="H243:H245" si="18">+H242+D243-F243</f>
        <v>1378825.9799999995</v>
      </c>
      <c r="I243" s="4">
        <f t="shared" ref="I243:I245" si="19">+I242+E243-G243</f>
        <v>21036103904.39603</v>
      </c>
    </row>
    <row r="244" spans="1:9" ht="15" customHeight="1" x14ac:dyDescent="0.2">
      <c r="A244" s="2">
        <v>45127</v>
      </c>
      <c r="B244" s="1"/>
      <c r="C244" s="1" t="s">
        <v>17</v>
      </c>
      <c r="F244" s="66">
        <v>30</v>
      </c>
      <c r="G244" s="32">
        <v>449820</v>
      </c>
      <c r="H244" s="3">
        <f t="shared" si="18"/>
        <v>1378795.9799999995</v>
      </c>
      <c r="I244" s="4">
        <f t="shared" si="19"/>
        <v>21035654084.39603</v>
      </c>
    </row>
    <row r="245" spans="1:9" ht="15" customHeight="1" x14ac:dyDescent="0.2">
      <c r="A245" s="2">
        <v>45127</v>
      </c>
      <c r="C245" s="1" t="s">
        <v>177</v>
      </c>
      <c r="F245" s="66">
        <v>48000</v>
      </c>
      <c r="G245" s="32">
        <v>716928000</v>
      </c>
      <c r="H245" s="3">
        <f t="shared" si="18"/>
        <v>1330795.9799999995</v>
      </c>
      <c r="I245" s="4">
        <f t="shared" si="19"/>
        <v>20318726084.39603</v>
      </c>
    </row>
    <row r="246" spans="1:9" ht="15" customHeight="1" x14ac:dyDescent="0.2">
      <c r="A246" s="2">
        <v>45127</v>
      </c>
      <c r="C246" s="1" t="s">
        <v>349</v>
      </c>
      <c r="F246" s="159">
        <v>277137.71000000002</v>
      </c>
      <c r="G246" s="32">
        <v>4155402823.7399998</v>
      </c>
      <c r="H246" s="3">
        <f t="shared" ref="H246:H248" si="20">+H245+D246-F246</f>
        <v>1053658.2699999996</v>
      </c>
      <c r="I246" s="4">
        <f t="shared" ref="I246:I248" si="21">+I245+E246-G246</f>
        <v>16163323260.656031</v>
      </c>
    </row>
    <row r="247" spans="1:9" ht="15" customHeight="1" x14ac:dyDescent="0.2">
      <c r="A247" s="2">
        <v>45127</v>
      </c>
      <c r="C247" s="1" t="s">
        <v>17</v>
      </c>
      <c r="F247" s="17">
        <v>35</v>
      </c>
      <c r="G247" s="32">
        <v>524790</v>
      </c>
      <c r="H247" s="3">
        <f>+H246+D247-F247</f>
        <v>1053623.2699999996</v>
      </c>
      <c r="I247" s="4">
        <f>+I246+E247-G247</f>
        <v>16162798470.656031</v>
      </c>
    </row>
    <row r="248" spans="1:9" ht="15" customHeight="1" x14ac:dyDescent="0.2">
      <c r="A248" s="2">
        <v>45132</v>
      </c>
      <c r="C248" s="1" t="s">
        <v>330</v>
      </c>
      <c r="F248" s="3">
        <v>68860</v>
      </c>
      <c r="G248" s="32">
        <v>1034828080</v>
      </c>
      <c r="H248" s="3">
        <f t="shared" si="20"/>
        <v>984763.26999999955</v>
      </c>
      <c r="I248" s="4">
        <f t="shared" si="21"/>
        <v>15127970390.656031</v>
      </c>
    </row>
    <row r="249" spans="1:9" ht="15" customHeight="1" x14ac:dyDescent="0.2">
      <c r="A249" s="2">
        <v>45132</v>
      </c>
      <c r="C249" s="1" t="s">
        <v>17</v>
      </c>
      <c r="F249" s="3">
        <v>30</v>
      </c>
      <c r="G249" s="32">
        <v>450840</v>
      </c>
      <c r="H249" s="3">
        <f t="shared" si="16"/>
        <v>984733.26999999955</v>
      </c>
      <c r="I249" s="4">
        <f t="shared" si="17"/>
        <v>15127519550.656031</v>
      </c>
    </row>
    <row r="250" spans="1:9" ht="15" customHeight="1" x14ac:dyDescent="0.2">
      <c r="A250" s="2">
        <v>45133</v>
      </c>
      <c r="C250" s="1" t="s">
        <v>323</v>
      </c>
      <c r="F250" s="171">
        <v>98088.14</v>
      </c>
      <c r="G250" s="32">
        <v>1472008716.98</v>
      </c>
      <c r="H250" s="3">
        <f t="shared" si="16"/>
        <v>886645.12999999954</v>
      </c>
      <c r="I250" s="4">
        <f t="shared" si="17"/>
        <v>13655510833.676031</v>
      </c>
    </row>
    <row r="251" spans="1:9" ht="15" customHeight="1" x14ac:dyDescent="0.2">
      <c r="A251" s="2">
        <v>45133</v>
      </c>
      <c r="C251" s="1" t="s">
        <v>17</v>
      </c>
      <c r="F251" s="171">
        <v>30</v>
      </c>
      <c r="G251" s="32">
        <v>450210</v>
      </c>
      <c r="H251" s="3">
        <f t="shared" si="16"/>
        <v>886615.12999999954</v>
      </c>
      <c r="I251" s="4">
        <f t="shared" si="17"/>
        <v>13655060623.676031</v>
      </c>
    </row>
    <row r="252" spans="1:9" ht="15" customHeight="1" x14ac:dyDescent="0.2">
      <c r="A252" s="2">
        <v>45133</v>
      </c>
      <c r="B252" s="1"/>
      <c r="C252" s="1" t="s">
        <v>177</v>
      </c>
      <c r="F252" s="171">
        <v>26000</v>
      </c>
      <c r="G252" s="32">
        <v>388336000</v>
      </c>
      <c r="H252" s="3">
        <f t="shared" si="16"/>
        <v>860615.12999999954</v>
      </c>
      <c r="I252" s="4">
        <f t="shared" si="17"/>
        <v>13266724623.676031</v>
      </c>
    </row>
    <row r="253" spans="1:9" ht="15" customHeight="1" x14ac:dyDescent="0.2">
      <c r="A253" s="2">
        <v>45134</v>
      </c>
      <c r="C253" s="1" t="s">
        <v>331</v>
      </c>
      <c r="F253" s="199">
        <v>46191.86</v>
      </c>
      <c r="G253" s="32">
        <v>694356039.51999998</v>
      </c>
      <c r="H253" s="3">
        <f t="shared" si="16"/>
        <v>814423.26999999955</v>
      </c>
      <c r="I253" s="4">
        <f t="shared" si="17"/>
        <v>12572368584.156031</v>
      </c>
    </row>
    <row r="254" spans="1:9" ht="15" customHeight="1" x14ac:dyDescent="0.2">
      <c r="A254" s="2">
        <v>45134</v>
      </c>
      <c r="C254" s="1" t="s">
        <v>17</v>
      </c>
      <c r="F254" s="199">
        <v>17</v>
      </c>
      <c r="G254" s="32">
        <v>255544</v>
      </c>
      <c r="H254" s="3">
        <f t="shared" si="16"/>
        <v>814406.26999999955</v>
      </c>
      <c r="I254" s="4">
        <f t="shared" si="17"/>
        <v>12572113040.156031</v>
      </c>
    </row>
    <row r="255" spans="1:9" ht="15" customHeight="1" x14ac:dyDescent="0.2">
      <c r="A255" s="2">
        <v>45134</v>
      </c>
      <c r="C255" s="1" t="s">
        <v>324</v>
      </c>
      <c r="F255" s="171">
        <v>155588.82</v>
      </c>
      <c r="G255" s="32">
        <v>2338811142.2399998</v>
      </c>
      <c r="H255" s="3">
        <f t="shared" si="16"/>
        <v>658817.44999999949</v>
      </c>
      <c r="I255" s="4">
        <f t="shared" si="17"/>
        <v>10233301897.916031</v>
      </c>
    </row>
    <row r="256" spans="1:9" ht="15" customHeight="1" x14ac:dyDescent="0.2">
      <c r="A256" s="2">
        <v>45134</v>
      </c>
      <c r="C256" s="1" t="s">
        <v>17</v>
      </c>
      <c r="F256" s="171">
        <v>30</v>
      </c>
      <c r="G256" s="32">
        <v>450960</v>
      </c>
      <c r="H256" s="3">
        <f t="shared" si="16"/>
        <v>658787.44999999949</v>
      </c>
      <c r="I256" s="4">
        <f t="shared" si="17"/>
        <v>10232850937.916031</v>
      </c>
    </row>
    <row r="257" spans="1:9" ht="15" customHeight="1" x14ac:dyDescent="0.2">
      <c r="A257" s="2">
        <v>45134</v>
      </c>
      <c r="B257" s="1"/>
      <c r="C257" s="1" t="s">
        <v>177</v>
      </c>
      <c r="F257" s="171">
        <v>10000</v>
      </c>
      <c r="G257" s="32">
        <v>149360000</v>
      </c>
      <c r="H257" s="3">
        <f t="shared" si="16"/>
        <v>648787.44999999949</v>
      </c>
      <c r="I257" s="4">
        <f t="shared" si="17"/>
        <v>10083490937.916031</v>
      </c>
    </row>
    <row r="258" spans="1:9" ht="15" customHeight="1" x14ac:dyDescent="0.2">
      <c r="A258" s="2">
        <v>45134</v>
      </c>
      <c r="B258" s="1"/>
      <c r="C258" s="1" t="s">
        <v>177</v>
      </c>
      <c r="F258" s="171">
        <v>20000</v>
      </c>
      <c r="G258" s="32">
        <v>301240000</v>
      </c>
      <c r="H258" s="3">
        <f t="shared" si="16"/>
        <v>628787.44999999949</v>
      </c>
      <c r="I258" s="4">
        <f t="shared" si="17"/>
        <v>9782250937.9160309</v>
      </c>
    </row>
    <row r="259" spans="1:9" ht="15" customHeight="1" x14ac:dyDescent="0.2">
      <c r="A259" s="2">
        <v>45135</v>
      </c>
      <c r="B259" s="1"/>
      <c r="C259" s="1" t="s">
        <v>177</v>
      </c>
      <c r="F259" s="193">
        <v>20000</v>
      </c>
      <c r="G259" s="32">
        <v>301240000</v>
      </c>
      <c r="H259" s="3">
        <f t="shared" si="16"/>
        <v>608787.44999999949</v>
      </c>
      <c r="I259" s="4">
        <f t="shared" si="17"/>
        <v>9481010937.9160309</v>
      </c>
    </row>
    <row r="260" spans="1:9" ht="15" customHeight="1" x14ac:dyDescent="0.2">
      <c r="A260" s="2">
        <v>45135</v>
      </c>
      <c r="B260" s="1"/>
      <c r="C260" s="1" t="s">
        <v>177</v>
      </c>
      <c r="F260" s="162">
        <v>20000</v>
      </c>
      <c r="G260" s="32">
        <v>301240000</v>
      </c>
      <c r="H260" s="3">
        <f t="shared" si="16"/>
        <v>588787.44999999949</v>
      </c>
      <c r="I260" s="4">
        <f t="shared" si="17"/>
        <v>9179770937.9160309</v>
      </c>
    </row>
    <row r="261" spans="1:9" ht="15" customHeight="1" x14ac:dyDescent="0.2">
      <c r="A261" s="2">
        <v>45138</v>
      </c>
      <c r="B261" s="1"/>
      <c r="C261" s="1" t="s">
        <v>18</v>
      </c>
      <c r="F261" s="17"/>
      <c r="G261" s="32">
        <f>23071226.77+16282167.81+50000</f>
        <v>39403394.579999998</v>
      </c>
      <c r="H261" s="3">
        <f t="shared" ref="H261" si="22">+H260+D261-F261</f>
        <v>588787.44999999949</v>
      </c>
      <c r="I261" s="4">
        <f t="shared" ref="I261" si="23">+I260+E261-G261</f>
        <v>9140367543.336031</v>
      </c>
    </row>
    <row r="262" spans="1:9" ht="15" customHeight="1" x14ac:dyDescent="0.2">
      <c r="A262" s="1"/>
      <c r="B262" s="1"/>
      <c r="E262" s="32" t="s">
        <v>336</v>
      </c>
      <c r="F262" s="1"/>
      <c r="G262" s="1"/>
    </row>
    <row r="263" spans="1:9" ht="15" customHeight="1" x14ac:dyDescent="0.2">
      <c r="A263" s="1"/>
      <c r="B263" s="1"/>
      <c r="F263" s="1"/>
      <c r="G263" s="1"/>
      <c r="H263" s="3">
        <f>+H261+UM!H365</f>
        <v>-1040781.0799999998</v>
      </c>
      <c r="I263" s="4">
        <f>+I261+UM!I365</f>
        <v>-15415788548.879976</v>
      </c>
    </row>
    <row r="264" spans="1:9" ht="15" customHeight="1" x14ac:dyDescent="0.2">
      <c r="A264" s="1"/>
      <c r="B264" s="1"/>
      <c r="F264" s="1"/>
      <c r="G264" s="1"/>
      <c r="H264" s="3">
        <f>RINCIAN!J765</f>
        <v>-321737.65999999997</v>
      </c>
      <c r="I264" s="4">
        <f>RINCIAN!K765</f>
        <v>-4663814112.6300001</v>
      </c>
    </row>
    <row r="265" spans="1:9" ht="15" customHeight="1" x14ac:dyDescent="0.2">
      <c r="A265" s="1"/>
      <c r="B265" s="1"/>
      <c r="F265" s="1"/>
      <c r="G265" s="1"/>
      <c r="H265" s="3">
        <f>+H263-H264</f>
        <v>-719043.41999999993</v>
      </c>
      <c r="I265" s="4">
        <f>+I263-I264</f>
        <v>-10751974436.249977</v>
      </c>
    </row>
    <row r="266" spans="1:9" ht="15" customHeight="1" x14ac:dyDescent="0.2">
      <c r="A266" s="1"/>
      <c r="B266" s="1"/>
      <c r="G266" s="1"/>
    </row>
    <row r="267" spans="1:9" ht="15" customHeight="1" x14ac:dyDescent="0.2">
      <c r="A267" s="2">
        <v>45141</v>
      </c>
      <c r="B267" s="1"/>
      <c r="C267" s="1" t="s">
        <v>40</v>
      </c>
      <c r="D267" s="44">
        <v>185335.76</v>
      </c>
      <c r="E267" s="32">
        <v>2785781808.5599999</v>
      </c>
      <c r="H267" s="3">
        <f>+H261+D267-F267</f>
        <v>774123.2099999995</v>
      </c>
      <c r="I267" s="4">
        <f>+I261+E267-G267</f>
        <v>11926149351.89603</v>
      </c>
    </row>
    <row r="268" spans="1:9" ht="15" customHeight="1" x14ac:dyDescent="0.2">
      <c r="A268" s="2">
        <v>45145</v>
      </c>
      <c r="B268" s="1"/>
      <c r="C268" s="1" t="s">
        <v>328</v>
      </c>
      <c r="D268" s="199">
        <v>65256.86</v>
      </c>
      <c r="E268" s="32">
        <v>980875862.65999997</v>
      </c>
      <c r="H268" s="3">
        <f>+H267+D268-F268</f>
        <v>839380.06999999948</v>
      </c>
      <c r="I268" s="4">
        <f>+I267+E268-G268</f>
        <v>12907025214.55603</v>
      </c>
    </row>
    <row r="269" spans="1:9" ht="15" customHeight="1" x14ac:dyDescent="0.2">
      <c r="A269" s="2">
        <v>45147</v>
      </c>
      <c r="B269" s="1"/>
      <c r="C269" s="1" t="s">
        <v>350</v>
      </c>
      <c r="D269" s="66">
        <v>89645.58</v>
      </c>
      <c r="E269" s="32">
        <v>1358130537</v>
      </c>
      <c r="G269" s="1"/>
      <c r="H269" s="3">
        <f t="shared" ref="H269:H314" si="24">+H268+D269-F269</f>
        <v>929025.64999999944</v>
      </c>
      <c r="I269" s="4">
        <f t="shared" ref="I269:I314" si="25">+I268+E269-G269</f>
        <v>14265155751.55603</v>
      </c>
    </row>
    <row r="270" spans="1:9" ht="15" customHeight="1" x14ac:dyDescent="0.2">
      <c r="A270" s="2">
        <v>45154</v>
      </c>
      <c r="B270" s="1"/>
      <c r="C270" s="1" t="s">
        <v>197</v>
      </c>
      <c r="D270" s="33">
        <v>74276.009999999995</v>
      </c>
      <c r="E270" s="32">
        <v>1129730684.5</v>
      </c>
      <c r="G270" s="17"/>
      <c r="H270" s="3">
        <f t="shared" si="24"/>
        <v>1003301.6599999995</v>
      </c>
      <c r="I270" s="4">
        <f t="shared" si="25"/>
        <v>15394886436.05603</v>
      </c>
    </row>
    <row r="271" spans="1:9" ht="15" customHeight="1" x14ac:dyDescent="0.2">
      <c r="A271" s="2">
        <v>45161</v>
      </c>
      <c r="C271" s="1" t="s">
        <v>40</v>
      </c>
      <c r="D271" s="44">
        <v>182638.07</v>
      </c>
      <c r="E271" s="32">
        <v>2798380508.54</v>
      </c>
      <c r="H271" s="3">
        <f t="shared" si="24"/>
        <v>1185939.7299999995</v>
      </c>
      <c r="I271" s="4">
        <f t="shared" si="25"/>
        <v>18193266944.596031</v>
      </c>
    </row>
    <row r="272" spans="1:9" ht="15" customHeight="1" x14ac:dyDescent="0.2">
      <c r="A272" s="2">
        <v>45161</v>
      </c>
      <c r="C272" s="1" t="s">
        <v>40</v>
      </c>
      <c r="D272" s="44">
        <v>125300.77</v>
      </c>
      <c r="E272" s="32">
        <v>1919858397.9400001</v>
      </c>
      <c r="H272" s="3">
        <f t="shared" si="24"/>
        <v>1311240.4999999995</v>
      </c>
      <c r="I272" s="4">
        <f t="shared" si="25"/>
        <v>20113125342.53603</v>
      </c>
    </row>
    <row r="273" spans="1:9" ht="15" customHeight="1" x14ac:dyDescent="0.2">
      <c r="A273" s="2">
        <v>45161</v>
      </c>
      <c r="C273" s="1" t="s">
        <v>278</v>
      </c>
      <c r="D273" s="71">
        <v>68206.41</v>
      </c>
      <c r="E273" s="32">
        <v>1045058614.02</v>
      </c>
      <c r="H273" s="3">
        <f t="shared" si="24"/>
        <v>1379446.9099999995</v>
      </c>
      <c r="I273" s="4">
        <f t="shared" si="25"/>
        <v>21158183956.55603</v>
      </c>
    </row>
    <row r="274" spans="1:9" ht="15" customHeight="1" x14ac:dyDescent="0.2">
      <c r="A274" s="2">
        <v>45161</v>
      </c>
      <c r="C274" s="1" t="s">
        <v>278</v>
      </c>
      <c r="D274" s="169">
        <v>70341.55</v>
      </c>
      <c r="E274" s="32">
        <v>1077773229.0999999</v>
      </c>
      <c r="H274" s="3">
        <f t="shared" si="24"/>
        <v>1449788.4599999995</v>
      </c>
      <c r="I274" s="4">
        <f t="shared" si="25"/>
        <v>22235957185.656029</v>
      </c>
    </row>
    <row r="275" spans="1:9" ht="15" customHeight="1" x14ac:dyDescent="0.2">
      <c r="A275" s="2">
        <v>45167</v>
      </c>
      <c r="C275" s="1" t="s">
        <v>40</v>
      </c>
      <c r="D275" s="207">
        <v>124183.2</v>
      </c>
      <c r="E275" s="32">
        <v>1902734990.4000001</v>
      </c>
      <c r="H275" s="3">
        <f t="shared" si="24"/>
        <v>1573971.6599999995</v>
      </c>
      <c r="I275" s="4">
        <f t="shared" si="25"/>
        <v>24138692176.05603</v>
      </c>
    </row>
    <row r="276" spans="1:9" ht="15" customHeight="1" x14ac:dyDescent="0.2">
      <c r="A276" s="2">
        <v>45168</v>
      </c>
      <c r="C276" s="1" t="s">
        <v>40</v>
      </c>
      <c r="D276" s="209">
        <v>184743.92</v>
      </c>
      <c r="E276" s="32">
        <v>2827505695.5999999</v>
      </c>
      <c r="H276" s="3">
        <f t="shared" si="24"/>
        <v>1758715.5799999994</v>
      </c>
      <c r="I276" s="4">
        <f t="shared" si="25"/>
        <v>26966197871.656029</v>
      </c>
    </row>
    <row r="277" spans="1:9" ht="15" customHeight="1" x14ac:dyDescent="0.2">
      <c r="A277" s="2">
        <v>45168</v>
      </c>
      <c r="C277" s="1" t="s">
        <v>40</v>
      </c>
      <c r="D277" s="16">
        <v>183793.06</v>
      </c>
      <c r="E277" s="32">
        <v>2812952783.3000002</v>
      </c>
      <c r="H277" s="3">
        <f t="shared" si="24"/>
        <v>1942508.6399999994</v>
      </c>
      <c r="I277" s="4">
        <f t="shared" si="25"/>
        <v>29779150654.956028</v>
      </c>
    </row>
    <row r="278" spans="1:9" ht="15" customHeight="1" x14ac:dyDescent="0.2">
      <c r="A278" s="2">
        <v>45139</v>
      </c>
      <c r="C278" s="1" t="s">
        <v>326</v>
      </c>
      <c r="D278" s="17"/>
      <c r="F278" s="193">
        <v>103981.78</v>
      </c>
      <c r="G278" s="32">
        <v>1569293023.76</v>
      </c>
      <c r="H278" s="3">
        <f t="shared" si="24"/>
        <v>1838526.8599999994</v>
      </c>
      <c r="I278" s="4">
        <f t="shared" si="25"/>
        <v>28209857631.19603</v>
      </c>
    </row>
    <row r="279" spans="1:9" ht="15" customHeight="1" x14ac:dyDescent="0.2">
      <c r="A279" s="2">
        <v>45139</v>
      </c>
      <c r="C279" s="1" t="s">
        <v>17</v>
      </c>
      <c r="D279" s="17"/>
      <c r="F279" s="193">
        <v>30</v>
      </c>
      <c r="G279" s="32">
        <v>452760</v>
      </c>
      <c r="H279" s="3">
        <f t="shared" si="24"/>
        <v>1838496.8599999994</v>
      </c>
      <c r="I279" s="4">
        <f t="shared" si="25"/>
        <v>28209404871.19603</v>
      </c>
    </row>
    <row r="280" spans="1:9" ht="15" customHeight="1" x14ac:dyDescent="0.2">
      <c r="A280" s="2">
        <v>45140</v>
      </c>
      <c r="C280" s="1" t="s">
        <v>327</v>
      </c>
      <c r="F280" s="162">
        <v>102343.47</v>
      </c>
      <c r="G280" s="32">
        <v>1547126235.99</v>
      </c>
      <c r="H280" s="3">
        <f t="shared" si="24"/>
        <v>1736153.3899999994</v>
      </c>
      <c r="I280" s="4">
        <f t="shared" si="25"/>
        <v>26662278635.206028</v>
      </c>
    </row>
    <row r="281" spans="1:9" ht="15" customHeight="1" x14ac:dyDescent="0.2">
      <c r="A281" s="2">
        <v>45140</v>
      </c>
      <c r="C281" s="1" t="s">
        <v>17</v>
      </c>
      <c r="F281" s="162">
        <v>30</v>
      </c>
      <c r="G281" s="32">
        <v>453510</v>
      </c>
      <c r="H281" s="3">
        <f t="shared" si="24"/>
        <v>1736123.3899999994</v>
      </c>
      <c r="I281" s="4">
        <f t="shared" si="25"/>
        <v>26661825125.206028</v>
      </c>
    </row>
    <row r="282" spans="1:9" ht="15" customHeight="1" x14ac:dyDescent="0.2">
      <c r="A282" s="2">
        <v>45140</v>
      </c>
      <c r="C282" s="1" t="s">
        <v>351</v>
      </c>
      <c r="F282" s="66">
        <v>76610.58</v>
      </c>
      <c r="G282" s="32">
        <v>1158122137.8599999</v>
      </c>
      <c r="H282" s="3">
        <f t="shared" si="24"/>
        <v>1659512.8099999994</v>
      </c>
      <c r="I282" s="4">
        <f t="shared" si="25"/>
        <v>25503702987.346027</v>
      </c>
    </row>
    <row r="283" spans="1:9" ht="15" customHeight="1" x14ac:dyDescent="0.2">
      <c r="A283" s="2">
        <v>45140</v>
      </c>
      <c r="C283" s="1" t="s">
        <v>17</v>
      </c>
      <c r="F283" s="66">
        <v>35</v>
      </c>
      <c r="G283" s="32">
        <v>529095</v>
      </c>
      <c r="H283" s="3">
        <f t="shared" si="24"/>
        <v>1659477.8099999994</v>
      </c>
      <c r="I283" s="4">
        <f t="shared" si="25"/>
        <v>25503173892.346027</v>
      </c>
    </row>
    <row r="284" spans="1:9" ht="15" customHeight="1" x14ac:dyDescent="0.2">
      <c r="A284" s="2">
        <v>45140</v>
      </c>
      <c r="C284" s="1" t="s">
        <v>256</v>
      </c>
      <c r="F284" s="201">
        <v>3000</v>
      </c>
      <c r="G284" s="152">
        <v>46122000</v>
      </c>
      <c r="H284" s="3">
        <f t="shared" si="24"/>
        <v>1656477.8099999994</v>
      </c>
      <c r="I284" s="4">
        <f t="shared" si="25"/>
        <v>25457051892.346027</v>
      </c>
    </row>
    <row r="285" spans="1:9" ht="15" customHeight="1" x14ac:dyDescent="0.2">
      <c r="A285" s="2">
        <v>45140</v>
      </c>
      <c r="C285" s="1" t="s">
        <v>256</v>
      </c>
      <c r="F285" s="201">
        <v>10000</v>
      </c>
      <c r="G285" s="152">
        <v>153740000</v>
      </c>
      <c r="H285" s="3">
        <f t="shared" si="24"/>
        <v>1646477.8099999994</v>
      </c>
      <c r="I285" s="4">
        <f t="shared" si="25"/>
        <v>25303311892.346027</v>
      </c>
    </row>
    <row r="286" spans="1:9" ht="15" customHeight="1" x14ac:dyDescent="0.2">
      <c r="A286" s="2">
        <v>45145</v>
      </c>
      <c r="C286" s="1" t="s">
        <v>352</v>
      </c>
      <c r="F286" s="44">
        <v>165305.76</v>
      </c>
      <c r="G286" s="32">
        <v>2507357767.6799998</v>
      </c>
      <c r="H286" s="3">
        <f t="shared" si="24"/>
        <v>1481172.0499999993</v>
      </c>
      <c r="I286" s="4">
        <f t="shared" si="25"/>
        <v>22795954124.666027</v>
      </c>
    </row>
    <row r="287" spans="1:9" ht="15" customHeight="1" x14ac:dyDescent="0.2">
      <c r="A287" s="2">
        <v>45145</v>
      </c>
      <c r="C287" s="1" t="s">
        <v>17</v>
      </c>
      <c r="F287" s="44">
        <v>30</v>
      </c>
      <c r="G287" s="32">
        <v>455040</v>
      </c>
      <c r="H287" s="3">
        <f t="shared" si="24"/>
        <v>1481142.0499999993</v>
      </c>
      <c r="I287" s="4">
        <f t="shared" si="25"/>
        <v>22795499084.666027</v>
      </c>
    </row>
    <row r="288" spans="1:9" ht="15" customHeight="1" x14ac:dyDescent="0.2">
      <c r="A288" s="2">
        <v>45145</v>
      </c>
      <c r="B288" s="1"/>
      <c r="C288" s="1" t="s">
        <v>256</v>
      </c>
      <c r="F288" s="44">
        <v>20000</v>
      </c>
      <c r="G288" s="32">
        <v>301240000</v>
      </c>
      <c r="H288" s="3">
        <f t="shared" si="24"/>
        <v>1461142.0499999993</v>
      </c>
      <c r="I288" s="4">
        <f t="shared" si="25"/>
        <v>22494259084.666027</v>
      </c>
    </row>
    <row r="289" spans="1:9" ht="15" customHeight="1" x14ac:dyDescent="0.2">
      <c r="A289" s="2">
        <v>45146</v>
      </c>
      <c r="C289" s="1" t="s">
        <v>353</v>
      </c>
      <c r="F289" s="199">
        <f>773-90</f>
        <v>683</v>
      </c>
      <c r="G289" s="32">
        <f>11732594-1366020</f>
        <v>10366574</v>
      </c>
      <c r="H289" s="3">
        <f t="shared" si="24"/>
        <v>1460459.0499999993</v>
      </c>
      <c r="I289" s="4">
        <f t="shared" si="25"/>
        <v>22483892510.666027</v>
      </c>
    </row>
    <row r="290" spans="1:9" ht="15" customHeight="1" x14ac:dyDescent="0.2">
      <c r="A290" s="2">
        <v>45146</v>
      </c>
      <c r="C290" s="1" t="s">
        <v>364</v>
      </c>
      <c r="F290" s="215">
        <v>90</v>
      </c>
      <c r="G290" s="32">
        <v>1366020</v>
      </c>
      <c r="H290" s="3">
        <f t="shared" si="24"/>
        <v>1460369.0499999993</v>
      </c>
      <c r="I290" s="4">
        <f t="shared" si="25"/>
        <v>22482526490.666027</v>
      </c>
    </row>
    <row r="291" spans="1:9" ht="15" customHeight="1" x14ac:dyDescent="0.2">
      <c r="A291" s="2">
        <v>45146</v>
      </c>
      <c r="C291" s="1" t="s">
        <v>17</v>
      </c>
      <c r="F291" s="199">
        <v>17</v>
      </c>
      <c r="G291" s="32">
        <v>258026</v>
      </c>
      <c r="H291" s="3">
        <f t="shared" si="24"/>
        <v>1460352.0499999993</v>
      </c>
      <c r="I291" s="4">
        <f t="shared" si="25"/>
        <v>22482268464.666027</v>
      </c>
    </row>
    <row r="292" spans="1:9" ht="15" customHeight="1" x14ac:dyDescent="0.2">
      <c r="A292" s="2">
        <v>45146</v>
      </c>
      <c r="C292" s="1" t="s">
        <v>256</v>
      </c>
      <c r="D292" s="17"/>
      <c r="F292" s="200">
        <v>18348</v>
      </c>
      <c r="G292" s="73">
        <v>272908152</v>
      </c>
      <c r="H292" s="3">
        <f t="shared" si="24"/>
        <v>1442004.0499999993</v>
      </c>
      <c r="I292" s="4">
        <f t="shared" si="25"/>
        <v>22209360312.666027</v>
      </c>
    </row>
    <row r="293" spans="1:9" ht="15" customHeight="1" x14ac:dyDescent="0.2">
      <c r="A293" s="2">
        <v>45148</v>
      </c>
      <c r="C293" s="1" t="s">
        <v>329</v>
      </c>
      <c r="F293" s="33">
        <v>50106.01</v>
      </c>
      <c r="G293" s="32">
        <v>761911988.05999994</v>
      </c>
      <c r="H293" s="3">
        <f t="shared" si="24"/>
        <v>1391898.0399999993</v>
      </c>
      <c r="I293" s="4">
        <f t="shared" si="25"/>
        <v>21447448324.606026</v>
      </c>
    </row>
    <row r="294" spans="1:9" ht="15" customHeight="1" x14ac:dyDescent="0.2">
      <c r="A294" s="2">
        <v>45148</v>
      </c>
      <c r="C294" s="1" t="s">
        <v>17</v>
      </c>
      <c r="F294" s="33">
        <v>50</v>
      </c>
      <c r="G294" s="32">
        <v>760300</v>
      </c>
      <c r="H294" s="3">
        <f t="shared" si="24"/>
        <v>1391848.0399999993</v>
      </c>
      <c r="I294" s="4">
        <f t="shared" si="25"/>
        <v>21446688024.606026</v>
      </c>
    </row>
    <row r="295" spans="1:9" ht="15" customHeight="1" x14ac:dyDescent="0.2">
      <c r="A295" s="2">
        <v>45154</v>
      </c>
      <c r="B295" s="1"/>
      <c r="C295" s="1" t="s">
        <v>256</v>
      </c>
      <c r="F295" s="203">
        <v>23070</v>
      </c>
      <c r="G295" s="32">
        <v>340443990</v>
      </c>
      <c r="H295" s="3">
        <f t="shared" si="24"/>
        <v>1368778.0399999993</v>
      </c>
      <c r="I295" s="4">
        <f t="shared" si="25"/>
        <v>21106244034.606026</v>
      </c>
    </row>
    <row r="296" spans="1:9" ht="15" customHeight="1" x14ac:dyDescent="0.2">
      <c r="A296" s="2">
        <v>45161</v>
      </c>
      <c r="C296" s="1" t="s">
        <v>354</v>
      </c>
      <c r="F296" s="214">
        <v>53556.39</v>
      </c>
      <c r="G296" s="32">
        <v>820805233.13999999</v>
      </c>
      <c r="H296" s="3">
        <f t="shared" si="24"/>
        <v>1315221.6499999994</v>
      </c>
      <c r="I296" s="4">
        <f t="shared" si="25"/>
        <v>20285438801.466026</v>
      </c>
    </row>
    <row r="297" spans="1:9" ht="15" customHeight="1" x14ac:dyDescent="0.2">
      <c r="A297" s="2">
        <v>45161</v>
      </c>
      <c r="C297" s="1" t="s">
        <v>17</v>
      </c>
      <c r="F297" s="214">
        <v>42</v>
      </c>
      <c r="G297" s="32">
        <v>643692</v>
      </c>
      <c r="H297" s="3">
        <f t="shared" si="24"/>
        <v>1315179.6499999994</v>
      </c>
      <c r="I297" s="4">
        <f t="shared" si="25"/>
        <v>20284795109.466026</v>
      </c>
    </row>
    <row r="298" spans="1:9" ht="15" customHeight="1" x14ac:dyDescent="0.2">
      <c r="A298" s="2">
        <v>45161</v>
      </c>
      <c r="C298" s="1" t="s">
        <v>355</v>
      </c>
      <c r="F298" s="71">
        <v>53392.41</v>
      </c>
      <c r="G298" s="32">
        <v>818292075.65999997</v>
      </c>
      <c r="H298" s="3">
        <f t="shared" si="24"/>
        <v>1261787.2399999995</v>
      </c>
      <c r="I298" s="4">
        <f t="shared" si="25"/>
        <v>19466503033.806026</v>
      </c>
    </row>
    <row r="299" spans="1:9" ht="15" customHeight="1" x14ac:dyDescent="0.2">
      <c r="A299" s="2">
        <v>45161</v>
      </c>
      <c r="C299" s="1" t="s">
        <v>17</v>
      </c>
      <c r="F299" s="71">
        <v>42</v>
      </c>
      <c r="G299" s="32">
        <v>643692</v>
      </c>
      <c r="H299" s="3">
        <f t="shared" si="24"/>
        <v>1261745.2399999995</v>
      </c>
      <c r="I299" s="4">
        <f t="shared" si="25"/>
        <v>19465859341.806026</v>
      </c>
    </row>
    <row r="300" spans="1:9" ht="15" customHeight="1" x14ac:dyDescent="0.2">
      <c r="A300" s="2">
        <v>45161</v>
      </c>
      <c r="C300" s="1" t="s">
        <v>256</v>
      </c>
      <c r="F300" s="71">
        <v>14772</v>
      </c>
      <c r="G300" s="32">
        <v>227621748</v>
      </c>
      <c r="H300" s="3">
        <f t="shared" si="24"/>
        <v>1246973.2399999995</v>
      </c>
      <c r="I300" s="4">
        <f t="shared" si="25"/>
        <v>19238237593.806026</v>
      </c>
    </row>
    <row r="301" spans="1:9" ht="15" customHeight="1" x14ac:dyDescent="0.2">
      <c r="A301" s="2">
        <v>45161</v>
      </c>
      <c r="B301" s="1"/>
      <c r="C301" s="1" t="s">
        <v>256</v>
      </c>
      <c r="D301" s="24"/>
      <c r="E301" s="73"/>
      <c r="F301" s="206">
        <v>14772</v>
      </c>
      <c r="G301" s="140">
        <v>228862596</v>
      </c>
      <c r="H301" s="3">
        <f t="shared" si="24"/>
        <v>1232201.2399999995</v>
      </c>
      <c r="I301" s="4">
        <f t="shared" si="25"/>
        <v>19009374997.806026</v>
      </c>
    </row>
    <row r="302" spans="1:9" ht="15" customHeight="1" x14ac:dyDescent="0.2">
      <c r="A302" s="2">
        <v>45163</v>
      </c>
      <c r="C302" s="1" t="s">
        <v>356</v>
      </c>
      <c r="F302" s="44">
        <v>103270.77</v>
      </c>
      <c r="G302" s="32">
        <v>1575189054.8099999</v>
      </c>
      <c r="H302" s="3">
        <f t="shared" si="24"/>
        <v>1128930.4699999995</v>
      </c>
      <c r="I302" s="4">
        <f t="shared" si="25"/>
        <v>17434185942.996025</v>
      </c>
    </row>
    <row r="303" spans="1:9" ht="15" customHeight="1" x14ac:dyDescent="0.2">
      <c r="A303" s="2">
        <v>45163</v>
      </c>
      <c r="C303" s="1" t="s">
        <v>17</v>
      </c>
      <c r="F303" s="44">
        <v>30</v>
      </c>
      <c r="G303" s="32">
        <v>457590</v>
      </c>
      <c r="H303" s="3">
        <f t="shared" si="24"/>
        <v>1128900.4699999995</v>
      </c>
      <c r="I303" s="4">
        <f t="shared" si="25"/>
        <v>17433728352.996025</v>
      </c>
    </row>
    <row r="304" spans="1:9" ht="15" customHeight="1" x14ac:dyDescent="0.2">
      <c r="A304" s="2">
        <v>45163</v>
      </c>
      <c r="B304" s="1"/>
      <c r="C304" s="1" t="s">
        <v>256</v>
      </c>
      <c r="F304" s="44">
        <v>10000</v>
      </c>
      <c r="G304" s="32">
        <v>150620000</v>
      </c>
      <c r="H304" s="3">
        <f t="shared" si="24"/>
        <v>1118900.4699999995</v>
      </c>
      <c r="I304" s="4">
        <f t="shared" si="25"/>
        <v>17283108352.996025</v>
      </c>
    </row>
    <row r="305" spans="1:9" ht="15" customHeight="1" x14ac:dyDescent="0.2">
      <c r="A305" s="2">
        <v>45163</v>
      </c>
      <c r="C305" s="1" t="s">
        <v>256</v>
      </c>
      <c r="D305" s="17"/>
      <c r="F305" s="204">
        <v>12000</v>
      </c>
      <c r="G305" s="73">
        <v>180996000</v>
      </c>
      <c r="H305" s="3">
        <f t="shared" si="24"/>
        <v>1106900.4699999995</v>
      </c>
      <c r="I305" s="4">
        <f t="shared" si="25"/>
        <v>17102112352.996025</v>
      </c>
    </row>
    <row r="306" spans="1:9" ht="15" customHeight="1" x14ac:dyDescent="0.2">
      <c r="A306" s="2">
        <v>45163</v>
      </c>
      <c r="C306" s="1" t="s">
        <v>357</v>
      </c>
      <c r="F306" s="44">
        <v>158608.07</v>
      </c>
      <c r="G306" s="32">
        <v>2419248891.71</v>
      </c>
      <c r="H306" s="3">
        <f t="shared" si="24"/>
        <v>948292.39999999944</v>
      </c>
      <c r="I306" s="4">
        <f t="shared" si="25"/>
        <v>14682863461.286026</v>
      </c>
    </row>
    <row r="307" spans="1:9" ht="15" customHeight="1" x14ac:dyDescent="0.2">
      <c r="A307" s="2">
        <v>45163</v>
      </c>
      <c r="C307" s="1" t="s">
        <v>17</v>
      </c>
      <c r="F307" s="44">
        <v>30</v>
      </c>
      <c r="G307" s="32">
        <v>457590</v>
      </c>
      <c r="H307" s="3">
        <f t="shared" si="24"/>
        <v>948262.39999999944</v>
      </c>
      <c r="I307" s="4">
        <f t="shared" si="25"/>
        <v>14682405871.286026</v>
      </c>
    </row>
    <row r="308" spans="1:9" ht="15" customHeight="1" x14ac:dyDescent="0.2">
      <c r="A308" s="2">
        <v>45163</v>
      </c>
      <c r="B308" s="1"/>
      <c r="C308" s="1" t="s">
        <v>256</v>
      </c>
      <c r="F308" s="44">
        <v>12000</v>
      </c>
      <c r="G308" s="32">
        <v>180744000</v>
      </c>
      <c r="H308" s="3">
        <f t="shared" si="24"/>
        <v>936262.39999999944</v>
      </c>
      <c r="I308" s="4">
        <f t="shared" si="25"/>
        <v>14501661871.286026</v>
      </c>
    </row>
    <row r="309" spans="1:9" ht="15" customHeight="1" x14ac:dyDescent="0.2">
      <c r="A309" s="2">
        <v>45163</v>
      </c>
      <c r="C309" s="1" t="s">
        <v>256</v>
      </c>
      <c r="D309" s="17"/>
      <c r="F309" s="204">
        <v>12000</v>
      </c>
      <c r="G309" s="73">
        <v>180996000</v>
      </c>
      <c r="H309" s="3">
        <f t="shared" si="24"/>
        <v>924262.39999999944</v>
      </c>
      <c r="I309" s="4">
        <f t="shared" si="25"/>
        <v>14320665871.286026</v>
      </c>
    </row>
    <row r="310" spans="1:9" ht="15" customHeight="1" x14ac:dyDescent="0.2">
      <c r="A310" s="2">
        <v>45167</v>
      </c>
      <c r="B310" s="1"/>
      <c r="C310" s="1" t="s">
        <v>256</v>
      </c>
      <c r="F310" s="207">
        <v>6000</v>
      </c>
      <c r="G310" s="32">
        <v>90372000</v>
      </c>
      <c r="H310" s="3">
        <f t="shared" si="24"/>
        <v>918262.39999999944</v>
      </c>
      <c r="I310" s="4">
        <f t="shared" si="25"/>
        <v>14230293871.286026</v>
      </c>
    </row>
    <row r="311" spans="1:9" ht="15" customHeight="1" x14ac:dyDescent="0.2">
      <c r="A311" s="2">
        <v>45167</v>
      </c>
      <c r="C311" s="1" t="s">
        <v>256</v>
      </c>
      <c r="D311" s="17"/>
      <c r="F311" s="208">
        <v>10000</v>
      </c>
      <c r="G311" s="73">
        <v>150830000</v>
      </c>
      <c r="H311" s="3">
        <f t="shared" si="24"/>
        <v>908262.39999999944</v>
      </c>
      <c r="I311" s="4">
        <f t="shared" si="25"/>
        <v>14079463871.286026</v>
      </c>
    </row>
    <row r="312" spans="1:9" ht="15" customHeight="1" x14ac:dyDescent="0.2">
      <c r="A312" s="2">
        <v>45168</v>
      </c>
      <c r="B312" s="1"/>
      <c r="C312" s="1" t="s">
        <v>256</v>
      </c>
      <c r="F312" s="209">
        <v>10000</v>
      </c>
      <c r="G312" s="32">
        <v>150620000</v>
      </c>
      <c r="H312" s="3">
        <f t="shared" si="24"/>
        <v>898262.39999999944</v>
      </c>
      <c r="I312" s="4">
        <f t="shared" si="25"/>
        <v>13928843871.286026</v>
      </c>
    </row>
    <row r="313" spans="1:9" ht="15" customHeight="1" x14ac:dyDescent="0.2">
      <c r="A313" s="2">
        <v>45168</v>
      </c>
      <c r="C313" s="1" t="s">
        <v>256</v>
      </c>
      <c r="D313" s="17"/>
      <c r="F313" s="210">
        <v>12000</v>
      </c>
      <c r="G313" s="73">
        <v>180996000</v>
      </c>
      <c r="H313" s="3">
        <f t="shared" si="24"/>
        <v>886262.39999999944</v>
      </c>
      <c r="I313" s="4">
        <f t="shared" si="25"/>
        <v>13747847871.286026</v>
      </c>
    </row>
    <row r="314" spans="1:9" ht="15" customHeight="1" x14ac:dyDescent="0.2">
      <c r="A314" s="2">
        <v>45168</v>
      </c>
      <c r="C314" s="1" t="s">
        <v>256</v>
      </c>
      <c r="F314" s="161">
        <v>30000</v>
      </c>
      <c r="G314" s="73">
        <v>452490000</v>
      </c>
      <c r="H314" s="3">
        <f t="shared" si="24"/>
        <v>856262.39999999944</v>
      </c>
      <c r="I314" s="4">
        <f t="shared" si="25"/>
        <v>13295357871.286026</v>
      </c>
    </row>
    <row r="315" spans="1:9" ht="15" customHeight="1" x14ac:dyDescent="0.2">
      <c r="A315" s="2">
        <v>45169</v>
      </c>
      <c r="C315" s="1" t="s">
        <v>18</v>
      </c>
      <c r="G315" s="32">
        <f>21962780.84-22794853.5+10850756.44-4024913.64+2731527.14-382695.86</f>
        <v>8342601.419999999</v>
      </c>
      <c r="H315" s="6">
        <f t="shared" ref="H315" si="26">+H314+D315-F315</f>
        <v>856262.39999999944</v>
      </c>
      <c r="I315" s="7">
        <f t="shared" ref="I315" si="27">+I314+E315-G315</f>
        <v>13287015269.866026</v>
      </c>
    </row>
    <row r="317" spans="1:9" ht="15" customHeight="1" x14ac:dyDescent="0.2">
      <c r="H317" s="3">
        <f>+H315+UM!H386</f>
        <v>-573176.12999999989</v>
      </c>
      <c r="I317" s="4">
        <f>+I315+UM!I386</f>
        <v>-8252778072.3499813</v>
      </c>
    </row>
    <row r="318" spans="1:9" ht="15" customHeight="1" x14ac:dyDescent="0.2">
      <c r="H318" s="3">
        <f>RINCIAN!J765</f>
        <v>-321737.65999999997</v>
      </c>
      <c r="I318" s="4">
        <f>RINCIAN!K765</f>
        <v>-4663814112.6300001</v>
      </c>
    </row>
    <row r="319" spans="1:9" ht="15" customHeight="1" x14ac:dyDescent="0.2">
      <c r="H319" s="3">
        <f>H317-H318</f>
        <v>-251438.46999999991</v>
      </c>
      <c r="I319" s="3">
        <f>I317-I318</f>
        <v>-3588963959.7199812</v>
      </c>
    </row>
    <row r="322" spans="1:9" ht="15" customHeight="1" x14ac:dyDescent="0.2">
      <c r="A322" s="2">
        <v>45175</v>
      </c>
      <c r="C322" s="1" t="s">
        <v>278</v>
      </c>
      <c r="D322" s="214">
        <v>68370.39</v>
      </c>
      <c r="E322" s="32">
        <v>1043127040.23</v>
      </c>
      <c r="H322" s="3">
        <f>+H315+D322-F322</f>
        <v>924632.78999999946</v>
      </c>
      <c r="I322" s="4">
        <f>+I315+E322-G322</f>
        <v>14330142310.096025</v>
      </c>
    </row>
    <row r="323" spans="1:9" ht="15" customHeight="1" x14ac:dyDescent="0.2">
      <c r="A323" s="2">
        <v>45180</v>
      </c>
      <c r="C323" s="1" t="s">
        <v>328</v>
      </c>
      <c r="D323" s="71">
        <v>63565.41</v>
      </c>
      <c r="E323" s="32">
        <v>969817460.37</v>
      </c>
      <c r="H323" s="3">
        <f>+H322+D323-F323</f>
        <v>988198.19999999949</v>
      </c>
      <c r="I323" s="4">
        <f>+I322+E323-G323</f>
        <v>15299959770.466026</v>
      </c>
    </row>
    <row r="324" spans="1:9" ht="15" customHeight="1" x14ac:dyDescent="0.2">
      <c r="A324" s="2">
        <v>45183</v>
      </c>
      <c r="C324" s="1" t="s">
        <v>193</v>
      </c>
      <c r="D324" s="162">
        <v>67749.87</v>
      </c>
      <c r="E324" s="32">
        <v>1036437511.26</v>
      </c>
      <c r="H324" s="3">
        <f t="shared" ref="H324:H343" si="28">+H323+D324-F324</f>
        <v>1055948.0699999994</v>
      </c>
      <c r="I324" s="4">
        <f t="shared" ref="I324:I343" si="29">+I323+E324-G324</f>
        <v>16336397281.726027</v>
      </c>
    </row>
    <row r="325" spans="1:9" ht="15" customHeight="1" x14ac:dyDescent="0.2">
      <c r="A325" s="2">
        <v>45190</v>
      </c>
      <c r="C325" s="1" t="s">
        <v>384</v>
      </c>
      <c r="D325" s="66">
        <v>187862.76</v>
      </c>
      <c r="E325" s="32">
        <v>2885196268.0799999</v>
      </c>
      <c r="H325" s="3">
        <f t="shared" si="28"/>
        <v>1243810.8299999994</v>
      </c>
      <c r="I325" s="4">
        <f t="shared" si="29"/>
        <v>19221593549.806026</v>
      </c>
    </row>
    <row r="326" spans="1:9" ht="15" customHeight="1" x14ac:dyDescent="0.2">
      <c r="A326" s="2">
        <v>45191</v>
      </c>
      <c r="C326" s="1" t="s">
        <v>384</v>
      </c>
      <c r="D326" s="66">
        <v>186867.86</v>
      </c>
      <c r="E326" s="32">
        <v>2869916593.8800001</v>
      </c>
      <c r="H326" s="3">
        <f t="shared" si="28"/>
        <v>1430678.6899999995</v>
      </c>
      <c r="I326" s="4">
        <f t="shared" si="29"/>
        <v>22091510143.686028</v>
      </c>
    </row>
    <row r="327" spans="1:9" ht="15" customHeight="1" x14ac:dyDescent="0.2">
      <c r="A327" s="2">
        <v>45195</v>
      </c>
      <c r="C327" s="1" t="s">
        <v>16</v>
      </c>
      <c r="D327" s="159">
        <v>93659.15</v>
      </c>
      <c r="E327" s="32">
        <v>1438417225.7</v>
      </c>
      <c r="H327" s="3">
        <f t="shared" si="28"/>
        <v>1524337.8399999994</v>
      </c>
      <c r="I327" s="4">
        <f t="shared" si="29"/>
        <v>23529927369.386028</v>
      </c>
    </row>
    <row r="328" spans="1:9" ht="15" customHeight="1" x14ac:dyDescent="0.2">
      <c r="A328" s="2">
        <v>45196</v>
      </c>
      <c r="C328" s="1" t="s">
        <v>384</v>
      </c>
      <c r="D328" s="66">
        <v>181901.84</v>
      </c>
      <c r="E328" s="32">
        <v>2798741710.2399998</v>
      </c>
      <c r="H328" s="3">
        <f t="shared" si="28"/>
        <v>1706239.6799999995</v>
      </c>
      <c r="I328" s="4">
        <f t="shared" si="29"/>
        <v>26328669079.62603</v>
      </c>
    </row>
    <row r="329" spans="1:9" ht="15" customHeight="1" x14ac:dyDescent="0.2">
      <c r="A329" s="2">
        <v>45174</v>
      </c>
      <c r="C329" s="1" t="s">
        <v>382</v>
      </c>
      <c r="F329" s="209">
        <v>162713.92000000001</v>
      </c>
      <c r="G329" s="32">
        <v>2480899138.2399998</v>
      </c>
      <c r="H329" s="3">
        <f t="shared" si="28"/>
        <v>1543525.7599999995</v>
      </c>
      <c r="I329" s="4">
        <f t="shared" si="29"/>
        <v>23847769941.386032</v>
      </c>
    </row>
    <row r="330" spans="1:9" ht="15" customHeight="1" x14ac:dyDescent="0.2">
      <c r="A330" s="2">
        <v>45174</v>
      </c>
      <c r="C330" s="1" t="s">
        <v>17</v>
      </c>
      <c r="F330" s="209">
        <v>30</v>
      </c>
      <c r="G330" s="32">
        <v>457410</v>
      </c>
      <c r="H330" s="3">
        <f t="shared" si="28"/>
        <v>1543495.7599999995</v>
      </c>
      <c r="I330" s="4">
        <f t="shared" si="29"/>
        <v>23847312531.386032</v>
      </c>
    </row>
    <row r="331" spans="1:9" ht="15" customHeight="1" x14ac:dyDescent="0.2">
      <c r="A331" s="2">
        <v>45174</v>
      </c>
      <c r="C331" s="1" t="s">
        <v>380</v>
      </c>
      <c r="F331" s="207">
        <v>108153.2</v>
      </c>
      <c r="G331" s="32">
        <v>1649011840.4000001</v>
      </c>
      <c r="H331" s="3">
        <f t="shared" si="28"/>
        <v>1435342.5599999996</v>
      </c>
      <c r="I331" s="4">
        <f t="shared" si="29"/>
        <v>22198300690.986031</v>
      </c>
    </row>
    <row r="332" spans="1:9" ht="15" customHeight="1" x14ac:dyDescent="0.2">
      <c r="A332" s="2">
        <v>45174</v>
      </c>
      <c r="C332" s="1" t="s">
        <v>17</v>
      </c>
      <c r="F332" s="207">
        <v>30</v>
      </c>
      <c r="G332" s="32">
        <v>457410</v>
      </c>
      <c r="H332" s="3">
        <f t="shared" si="28"/>
        <v>1435312.5599999996</v>
      </c>
      <c r="I332" s="4">
        <f t="shared" si="29"/>
        <v>22197843280.986031</v>
      </c>
    </row>
    <row r="333" spans="1:9" ht="15" customHeight="1" x14ac:dyDescent="0.2">
      <c r="A333" s="2">
        <v>45175</v>
      </c>
      <c r="C333" s="1" t="s">
        <v>359</v>
      </c>
      <c r="F333" s="16">
        <v>153763.06</v>
      </c>
      <c r="G333" s="32">
        <v>2346424295.5999999</v>
      </c>
      <c r="H333" s="3">
        <f t="shared" si="28"/>
        <v>1281549.4999999995</v>
      </c>
      <c r="I333" s="4">
        <f t="shared" si="29"/>
        <v>19851418985.386032</v>
      </c>
    </row>
    <row r="334" spans="1:9" ht="15" customHeight="1" x14ac:dyDescent="0.2">
      <c r="A334" s="2">
        <v>45175</v>
      </c>
      <c r="C334" s="1" t="s">
        <v>17</v>
      </c>
      <c r="F334" s="16">
        <v>30</v>
      </c>
      <c r="G334" s="32">
        <v>457800</v>
      </c>
      <c r="H334" s="3">
        <f t="shared" si="28"/>
        <v>1281519.4999999995</v>
      </c>
      <c r="I334" s="4">
        <f t="shared" si="29"/>
        <v>19850961185.386032</v>
      </c>
    </row>
    <row r="335" spans="1:9" ht="15" customHeight="1" x14ac:dyDescent="0.2">
      <c r="A335" s="2">
        <v>45176</v>
      </c>
      <c r="C335" s="1" t="s">
        <v>377</v>
      </c>
      <c r="F335" s="34">
        <v>55527.55</v>
      </c>
      <c r="G335" s="32">
        <v>849960207.85000002</v>
      </c>
      <c r="H335" s="3">
        <f t="shared" si="28"/>
        <v>1225991.9499999995</v>
      </c>
      <c r="I335" s="4">
        <f t="shared" si="29"/>
        <v>19001000977.536034</v>
      </c>
    </row>
    <row r="336" spans="1:9" ht="15" customHeight="1" x14ac:dyDescent="0.2">
      <c r="A336" s="2">
        <v>45176</v>
      </c>
      <c r="C336" s="1" t="s">
        <v>17</v>
      </c>
      <c r="F336" s="34">
        <v>42</v>
      </c>
      <c r="G336" s="32">
        <v>642894</v>
      </c>
      <c r="H336" s="3">
        <f t="shared" si="28"/>
        <v>1225949.9499999995</v>
      </c>
      <c r="I336" s="4">
        <f t="shared" si="29"/>
        <v>19000358083.536034</v>
      </c>
    </row>
    <row r="337" spans="1:9" ht="15" customHeight="1" x14ac:dyDescent="0.2">
      <c r="A337" s="2">
        <v>45176</v>
      </c>
      <c r="C337" s="1" t="s">
        <v>401</v>
      </c>
      <c r="F337" s="34">
        <f>69829.42-67749.87</f>
        <v>2079.5500000000029</v>
      </c>
      <c r="G337" s="32">
        <f>1068878931.94-1037047260.09</f>
        <v>31831671.850000024</v>
      </c>
      <c r="H337" s="3">
        <f t="shared" si="28"/>
        <v>1223870.3999999994</v>
      </c>
      <c r="I337" s="4">
        <f t="shared" si="29"/>
        <v>18968526411.686035</v>
      </c>
    </row>
    <row r="338" spans="1:9" ht="15" customHeight="1" x14ac:dyDescent="0.2">
      <c r="A338" s="2">
        <v>45176</v>
      </c>
      <c r="C338" s="1" t="s">
        <v>402</v>
      </c>
      <c r="F338" s="162">
        <v>67749.87</v>
      </c>
      <c r="G338" s="32">
        <v>1037047260.09</v>
      </c>
      <c r="H338" s="3">
        <f t="shared" si="28"/>
        <v>1156120.5299999993</v>
      </c>
      <c r="I338" s="4">
        <f t="shared" si="29"/>
        <v>17931479151.596035</v>
      </c>
    </row>
    <row r="339" spans="1:9" ht="15" customHeight="1" x14ac:dyDescent="0.2">
      <c r="A339" s="2">
        <v>45176</v>
      </c>
      <c r="C339" s="1" t="s">
        <v>17</v>
      </c>
      <c r="F339" s="34">
        <v>5</v>
      </c>
      <c r="G339" s="32">
        <v>76535</v>
      </c>
      <c r="H339" s="3">
        <f t="shared" si="28"/>
        <v>1156115.5299999993</v>
      </c>
      <c r="I339" s="4">
        <f t="shared" si="29"/>
        <v>17931402616.596035</v>
      </c>
    </row>
    <row r="340" spans="1:9" ht="15" customHeight="1" x14ac:dyDescent="0.2">
      <c r="A340" s="2">
        <v>45175</v>
      </c>
      <c r="B340" s="1"/>
      <c r="C340" s="1" t="s">
        <v>256</v>
      </c>
      <c r="D340" s="24"/>
      <c r="E340" s="73"/>
      <c r="F340" s="213">
        <v>14772</v>
      </c>
      <c r="G340" s="140">
        <v>230029584</v>
      </c>
      <c r="H340" s="3">
        <f t="shared" si="28"/>
        <v>1141343.5299999993</v>
      </c>
      <c r="I340" s="4">
        <f t="shared" si="29"/>
        <v>17701373032.596035</v>
      </c>
    </row>
    <row r="341" spans="1:9" ht="15" customHeight="1" x14ac:dyDescent="0.2">
      <c r="A341" s="2">
        <v>45176</v>
      </c>
      <c r="C341" s="1" t="s">
        <v>389</v>
      </c>
      <c r="D341" s="24"/>
      <c r="E341" s="73"/>
      <c r="F341" s="154">
        <v>45110.41</v>
      </c>
      <c r="G341" s="73">
        <v>690505045.87</v>
      </c>
      <c r="H341" s="3">
        <f t="shared" si="28"/>
        <v>1096233.1199999994</v>
      </c>
      <c r="I341" s="4">
        <f t="shared" si="29"/>
        <v>17010867986.726034</v>
      </c>
    </row>
    <row r="342" spans="1:9" ht="15" customHeight="1" x14ac:dyDescent="0.2">
      <c r="A342" s="2">
        <v>45176</v>
      </c>
      <c r="C342" s="1" t="s">
        <v>17</v>
      </c>
      <c r="F342" s="71">
        <v>17</v>
      </c>
      <c r="G342" s="32">
        <v>260219</v>
      </c>
      <c r="H342" s="3">
        <f t="shared" si="28"/>
        <v>1096216.1199999994</v>
      </c>
      <c r="I342" s="4">
        <f t="shared" si="29"/>
        <v>17010607767.726034</v>
      </c>
    </row>
    <row r="343" spans="1:9" ht="15" customHeight="1" x14ac:dyDescent="0.2">
      <c r="A343" s="2">
        <v>45176</v>
      </c>
      <c r="C343" s="1" t="s">
        <v>256</v>
      </c>
      <c r="D343" s="17"/>
      <c r="E343" s="4"/>
      <c r="F343" s="154">
        <v>18348</v>
      </c>
      <c r="G343" s="25">
        <v>275458524</v>
      </c>
      <c r="H343" s="3">
        <f t="shared" si="28"/>
        <v>1077868.1199999994</v>
      </c>
      <c r="I343" s="4">
        <f t="shared" si="29"/>
        <v>16735149243.726034</v>
      </c>
    </row>
    <row r="344" spans="1:9" ht="15" customHeight="1" x14ac:dyDescent="0.2">
      <c r="A344" s="2">
        <v>45194</v>
      </c>
      <c r="C344" s="1" t="s">
        <v>392</v>
      </c>
      <c r="F344" s="66">
        <v>157832.76</v>
      </c>
      <c r="G344" s="32">
        <v>2427941347.0799999</v>
      </c>
      <c r="H344" s="3">
        <f t="shared" ref="H344:H353" si="30">+H343+D344-F344</f>
        <v>920035.3599999994</v>
      </c>
      <c r="I344" s="4">
        <f t="shared" ref="I344:I353" si="31">+I343+E344-G344</f>
        <v>14307207896.646034</v>
      </c>
    </row>
    <row r="345" spans="1:9" ht="15" customHeight="1" x14ac:dyDescent="0.2">
      <c r="A345" s="2">
        <v>45194</v>
      </c>
      <c r="C345" s="1" t="s">
        <v>17</v>
      </c>
      <c r="F345" s="66">
        <v>30</v>
      </c>
      <c r="G345" s="32">
        <v>461490</v>
      </c>
      <c r="H345" s="3">
        <f t="shared" si="30"/>
        <v>920005.3599999994</v>
      </c>
      <c r="I345" s="4">
        <f t="shared" si="31"/>
        <v>14306746406.646034</v>
      </c>
    </row>
    <row r="346" spans="1:9" ht="15" customHeight="1" x14ac:dyDescent="0.2">
      <c r="A346" s="2">
        <v>45194</v>
      </c>
      <c r="B346" s="1"/>
      <c r="C346" s="1" t="s">
        <v>256</v>
      </c>
      <c r="E346" s="4"/>
      <c r="F346" s="66">
        <v>30000</v>
      </c>
      <c r="G346" s="32">
        <v>461490000</v>
      </c>
      <c r="H346" s="3">
        <f t="shared" si="30"/>
        <v>890005.3599999994</v>
      </c>
      <c r="I346" s="4">
        <f t="shared" si="31"/>
        <v>13845256406.646034</v>
      </c>
    </row>
    <row r="347" spans="1:9" ht="15" customHeight="1" x14ac:dyDescent="0.2">
      <c r="A347" s="2">
        <v>45191</v>
      </c>
      <c r="C347" s="1" t="s">
        <v>396</v>
      </c>
      <c r="F347" s="66">
        <v>155877.85999999999</v>
      </c>
      <c r="G347" s="32">
        <v>2400051410.4200001</v>
      </c>
      <c r="H347" s="3">
        <f t="shared" si="30"/>
        <v>734127.49999999942</v>
      </c>
      <c r="I347" s="4">
        <f t="shared" si="31"/>
        <v>11445204996.226034</v>
      </c>
    </row>
    <row r="348" spans="1:9" ht="15" customHeight="1" x14ac:dyDescent="0.2">
      <c r="A348" s="2">
        <v>45191</v>
      </c>
      <c r="C348" s="1" t="s">
        <v>17</v>
      </c>
      <c r="F348" s="66">
        <v>30</v>
      </c>
      <c r="G348" s="32">
        <v>461910</v>
      </c>
      <c r="H348" s="3">
        <f t="shared" si="30"/>
        <v>734097.49999999942</v>
      </c>
      <c r="I348" s="4">
        <f t="shared" si="31"/>
        <v>11444743086.226034</v>
      </c>
    </row>
    <row r="349" spans="1:9" ht="15" customHeight="1" x14ac:dyDescent="0.2">
      <c r="A349" s="2">
        <v>45191</v>
      </c>
      <c r="C349" s="1" t="s">
        <v>256</v>
      </c>
      <c r="D349" s="17"/>
      <c r="E349" s="4"/>
      <c r="F349" s="190">
        <v>12960</v>
      </c>
      <c r="G349" s="25">
        <v>195475680</v>
      </c>
      <c r="H349" s="3">
        <f t="shared" si="30"/>
        <v>721137.49999999942</v>
      </c>
      <c r="I349" s="4">
        <f t="shared" si="31"/>
        <v>11249267406.226034</v>
      </c>
    </row>
    <row r="350" spans="1:9" ht="15" customHeight="1" x14ac:dyDescent="0.2">
      <c r="A350" s="2">
        <v>45191</v>
      </c>
      <c r="B350" s="1"/>
      <c r="C350" s="1" t="s">
        <v>256</v>
      </c>
      <c r="E350" s="4"/>
      <c r="F350" s="66">
        <v>18000</v>
      </c>
      <c r="G350" s="32">
        <v>276894000</v>
      </c>
      <c r="H350" s="3">
        <f t="shared" si="30"/>
        <v>703137.49999999942</v>
      </c>
      <c r="I350" s="4">
        <f t="shared" si="31"/>
        <v>10972373406.226034</v>
      </c>
    </row>
    <row r="351" spans="1:9" ht="15" customHeight="1" x14ac:dyDescent="0.2">
      <c r="A351" s="2">
        <v>45196</v>
      </c>
      <c r="C351" s="1" t="s">
        <v>400</v>
      </c>
      <c r="F351" s="66">
        <v>151871.84</v>
      </c>
      <c r="G351" s="32">
        <v>2348546133.7600002</v>
      </c>
      <c r="H351" s="3">
        <f t="shared" si="30"/>
        <v>551265.65999999945</v>
      </c>
      <c r="I351" s="4">
        <f t="shared" si="31"/>
        <v>8623827272.4660339</v>
      </c>
    </row>
    <row r="352" spans="1:9" ht="15" customHeight="1" x14ac:dyDescent="0.2">
      <c r="A352" s="2">
        <v>45196</v>
      </c>
      <c r="C352" s="1" t="s">
        <v>17</v>
      </c>
      <c r="F352" s="66">
        <v>30</v>
      </c>
      <c r="G352" s="32">
        <v>463920</v>
      </c>
      <c r="H352" s="3">
        <f t="shared" si="30"/>
        <v>551235.65999999945</v>
      </c>
      <c r="I352" s="4">
        <f t="shared" si="31"/>
        <v>8623363352.4660339</v>
      </c>
    </row>
    <row r="353" spans="1:9" ht="15" customHeight="1" x14ac:dyDescent="0.2">
      <c r="A353" s="2">
        <v>45196</v>
      </c>
      <c r="B353" s="1"/>
      <c r="C353" s="1" t="s">
        <v>256</v>
      </c>
      <c r="E353" s="4"/>
      <c r="F353" s="66">
        <v>30000</v>
      </c>
      <c r="G353" s="32">
        <v>461490000</v>
      </c>
      <c r="H353" s="3">
        <f t="shared" si="30"/>
        <v>521235.65999999945</v>
      </c>
      <c r="I353" s="4">
        <f t="shared" si="31"/>
        <v>8161873352.4660339</v>
      </c>
    </row>
    <row r="354" spans="1:9" ht="15" customHeight="1" x14ac:dyDescent="0.2">
      <c r="A354" s="2">
        <v>45199</v>
      </c>
      <c r="C354" s="1" t="s">
        <v>18</v>
      </c>
      <c r="G354" s="32">
        <v>32410620.359999999</v>
      </c>
      <c r="H354" s="3">
        <f t="shared" ref="H354" si="32">+H353+D354-F354</f>
        <v>521235.65999999945</v>
      </c>
      <c r="I354" s="4">
        <f t="shared" ref="I354" si="33">+I353+E354-G354</f>
        <v>8129462732.1060343</v>
      </c>
    </row>
    <row r="356" spans="1:9" ht="15" customHeight="1" x14ac:dyDescent="0.2">
      <c r="H356" s="3">
        <f>+H354+UM!H403</f>
        <v>-1032775.0699999998</v>
      </c>
      <c r="I356" s="4">
        <f>+I354+UM!I403</f>
        <v>-15329396728.909977</v>
      </c>
    </row>
    <row r="357" spans="1:9" ht="15" customHeight="1" x14ac:dyDescent="0.2">
      <c r="H357" s="3">
        <f>RINCIAN!J765</f>
        <v>-321737.65999999997</v>
      </c>
      <c r="I357" s="4">
        <f>RINCIAN!K765</f>
        <v>-4663814112.6300001</v>
      </c>
    </row>
    <row r="358" spans="1:9" ht="15" customHeight="1" x14ac:dyDescent="0.2">
      <c r="H358" s="3">
        <f>+H356-H357</f>
        <v>-711037.40999999992</v>
      </c>
      <c r="I358" s="4">
        <f>+I356-I357</f>
        <v>-10665582616.279976</v>
      </c>
    </row>
    <row r="362" spans="1:9" ht="15" customHeight="1" x14ac:dyDescent="0.2">
      <c r="A362" s="2">
        <v>45205</v>
      </c>
      <c r="C362" s="1" t="s">
        <v>81</v>
      </c>
      <c r="D362" s="16">
        <v>67342.66</v>
      </c>
      <c r="E362" s="32">
        <v>1041723607.5400001</v>
      </c>
      <c r="H362" s="3">
        <f>+H354+D362-F362</f>
        <v>588578.31999999948</v>
      </c>
      <c r="I362" s="4">
        <f>+I354+E362-G362</f>
        <v>9171186339.6460342</v>
      </c>
    </row>
    <row r="363" spans="1:9" ht="15" customHeight="1" x14ac:dyDescent="0.2">
      <c r="A363" s="2">
        <v>45210</v>
      </c>
      <c r="C363" s="1" t="s">
        <v>194</v>
      </c>
      <c r="D363" s="66">
        <v>64229.15</v>
      </c>
      <c r="E363" s="32">
        <v>1001782052.5500001</v>
      </c>
      <c r="H363" s="3">
        <f t="shared" ref="H363:H378" si="34">+H362+D363-F363</f>
        <v>652807.46999999951</v>
      </c>
      <c r="I363" s="4">
        <f t="shared" ref="I363:I378" si="35">+I362+E363-G363</f>
        <v>10172968392.196033</v>
      </c>
    </row>
    <row r="364" spans="1:9" ht="15" customHeight="1" x14ac:dyDescent="0.2">
      <c r="A364" s="2">
        <v>45222</v>
      </c>
      <c r="C364" s="1" t="s">
        <v>16</v>
      </c>
      <c r="D364" s="71">
        <v>84552.9</v>
      </c>
      <c r="E364" s="32">
        <v>1327565082.8999999</v>
      </c>
      <c r="H364" s="3">
        <f t="shared" si="34"/>
        <v>737360.36999999953</v>
      </c>
      <c r="I364" s="4">
        <f t="shared" si="35"/>
        <v>11500533475.096033</v>
      </c>
    </row>
    <row r="365" spans="1:9" ht="15" customHeight="1" x14ac:dyDescent="0.2">
      <c r="A365" s="2">
        <v>45222</v>
      </c>
      <c r="C365" s="1" t="s">
        <v>40</v>
      </c>
      <c r="D365" s="162">
        <v>183805.93</v>
      </c>
      <c r="E365" s="32">
        <v>2885936906.9299998</v>
      </c>
      <c r="H365" s="3">
        <f t="shared" si="34"/>
        <v>921166.29999999958</v>
      </c>
      <c r="I365" s="4">
        <f t="shared" si="35"/>
        <v>14386470382.026033</v>
      </c>
    </row>
    <row r="366" spans="1:9" ht="15" customHeight="1" x14ac:dyDescent="0.2">
      <c r="A366" s="2">
        <v>45229</v>
      </c>
      <c r="C366" s="1" t="s">
        <v>16</v>
      </c>
      <c r="D366" s="159">
        <v>91216.11</v>
      </c>
      <c r="E366" s="32">
        <v>1438660486.9200001</v>
      </c>
      <c r="H366" s="3">
        <f t="shared" ref="H366:I368" si="36">+H365+D366-F366</f>
        <v>1012382.4099999996</v>
      </c>
      <c r="I366" s="4">
        <f t="shared" si="36"/>
        <v>15825130868.946033</v>
      </c>
    </row>
    <row r="367" spans="1:9" ht="15" customHeight="1" x14ac:dyDescent="0.2">
      <c r="A367" s="2">
        <v>45230</v>
      </c>
      <c r="C367" s="1" t="s">
        <v>40</v>
      </c>
      <c r="D367" s="222">
        <v>185718.76</v>
      </c>
      <c r="E367" s="32">
        <v>2929156282.7199998</v>
      </c>
      <c r="H367" s="3">
        <f t="shared" si="36"/>
        <v>1198101.1699999995</v>
      </c>
      <c r="I367" s="4">
        <f t="shared" si="36"/>
        <v>18754287151.666035</v>
      </c>
    </row>
    <row r="368" spans="1:9" ht="15" customHeight="1" x14ac:dyDescent="0.2">
      <c r="A368" s="2">
        <v>45202</v>
      </c>
      <c r="C368" s="1" t="s">
        <v>408</v>
      </c>
      <c r="F368" s="16">
        <v>54806.96</v>
      </c>
      <c r="G368" s="32">
        <v>850549212.24000001</v>
      </c>
      <c r="H368" s="3">
        <f t="shared" si="36"/>
        <v>1143294.2099999995</v>
      </c>
      <c r="I368" s="4">
        <f t="shared" si="36"/>
        <v>17903737939.426033</v>
      </c>
    </row>
    <row r="369" spans="1:9" ht="15" customHeight="1" x14ac:dyDescent="0.2">
      <c r="A369" s="217">
        <v>45202</v>
      </c>
      <c r="B369" s="217"/>
      <c r="C369" s="40" t="s">
        <v>17</v>
      </c>
      <c r="D369" s="178"/>
      <c r="E369" s="211"/>
      <c r="F369" s="218">
        <v>5</v>
      </c>
      <c r="G369" s="211">
        <v>77595</v>
      </c>
      <c r="H369" s="3">
        <f t="shared" si="34"/>
        <v>1143289.2099999995</v>
      </c>
      <c r="I369" s="4">
        <f t="shared" si="35"/>
        <v>17903660344.426033</v>
      </c>
    </row>
    <row r="370" spans="1:9" ht="15" customHeight="1" x14ac:dyDescent="0.2">
      <c r="A370" s="217">
        <v>45202</v>
      </c>
      <c r="B370" s="40"/>
      <c r="C370" s="40" t="s">
        <v>256</v>
      </c>
      <c r="D370" s="178"/>
      <c r="E370" s="211"/>
      <c r="F370" s="219">
        <v>12530.7</v>
      </c>
      <c r="G370" s="173">
        <v>194113073.69999999</v>
      </c>
      <c r="H370" s="3">
        <f t="shared" si="34"/>
        <v>1130758.5099999995</v>
      </c>
      <c r="I370" s="4">
        <f t="shared" si="35"/>
        <v>17709547270.726032</v>
      </c>
    </row>
    <row r="371" spans="1:9" ht="15" customHeight="1" x14ac:dyDescent="0.2">
      <c r="A371" s="217">
        <v>45206</v>
      </c>
      <c r="B371" s="217"/>
      <c r="C371" s="40" t="s">
        <v>409</v>
      </c>
      <c r="D371" s="178"/>
      <c r="E371" s="211"/>
      <c r="F371" s="220">
        <v>46380.15</v>
      </c>
      <c r="G371" s="211">
        <v>723576720.14999998</v>
      </c>
      <c r="H371" s="3">
        <f t="shared" si="34"/>
        <v>1084378.3599999996</v>
      </c>
      <c r="I371" s="4">
        <f t="shared" si="35"/>
        <v>16985970550.576033</v>
      </c>
    </row>
    <row r="372" spans="1:9" ht="15" customHeight="1" x14ac:dyDescent="0.2">
      <c r="A372" s="217">
        <v>45206</v>
      </c>
      <c r="B372" s="217"/>
      <c r="C372" s="40" t="s">
        <v>17</v>
      </c>
      <c r="D372" s="178"/>
      <c r="E372" s="211"/>
      <c r="F372" s="220">
        <v>17</v>
      </c>
      <c r="G372" s="211">
        <v>265217</v>
      </c>
      <c r="H372" s="3">
        <f t="shared" si="34"/>
        <v>1084361.3599999996</v>
      </c>
      <c r="I372" s="4">
        <f t="shared" si="35"/>
        <v>16985705333.576033</v>
      </c>
    </row>
    <row r="373" spans="1:9" ht="15" customHeight="1" x14ac:dyDescent="0.2">
      <c r="A373" s="217">
        <v>45206</v>
      </c>
      <c r="B373" s="217"/>
      <c r="C373" s="40" t="s">
        <v>256</v>
      </c>
      <c r="D373" s="178"/>
      <c r="E373" s="211"/>
      <c r="F373" s="190">
        <v>17832</v>
      </c>
      <c r="G373" s="25">
        <v>273239736</v>
      </c>
      <c r="H373" s="3">
        <f t="shared" si="34"/>
        <v>1066529.3599999996</v>
      </c>
      <c r="I373" s="4">
        <f t="shared" si="35"/>
        <v>16712465597.576033</v>
      </c>
    </row>
    <row r="374" spans="1:9" ht="15" customHeight="1" x14ac:dyDescent="0.2">
      <c r="A374" s="217">
        <v>45209</v>
      </c>
      <c r="B374" s="217"/>
      <c r="C374" s="40" t="s">
        <v>410</v>
      </c>
      <c r="D374" s="178"/>
      <c r="E374" s="211"/>
      <c r="F374" s="221">
        <v>71515.899999999994</v>
      </c>
      <c r="G374" s="211">
        <v>1121012447.6600001</v>
      </c>
      <c r="H374" s="3">
        <f t="shared" si="34"/>
        <v>995013.45999999961</v>
      </c>
      <c r="I374" s="4">
        <f t="shared" si="35"/>
        <v>15591453149.916033</v>
      </c>
    </row>
    <row r="375" spans="1:9" ht="15" customHeight="1" x14ac:dyDescent="0.2">
      <c r="A375" s="217">
        <v>45209</v>
      </c>
      <c r="B375" s="217"/>
      <c r="C375" s="40" t="s">
        <v>17</v>
      </c>
      <c r="D375" s="178"/>
      <c r="E375" s="211"/>
      <c r="F375" s="221">
        <v>37</v>
      </c>
      <c r="G375" s="211">
        <v>579975.37</v>
      </c>
      <c r="H375" s="3">
        <f t="shared" si="34"/>
        <v>994976.45999999961</v>
      </c>
      <c r="I375" s="4">
        <f t="shared" si="35"/>
        <v>15590873174.546032</v>
      </c>
    </row>
    <row r="376" spans="1:9" ht="15" customHeight="1" x14ac:dyDescent="0.2">
      <c r="A376" s="217">
        <v>45209</v>
      </c>
      <c r="C376" s="1" t="s">
        <v>410</v>
      </c>
      <c r="F376" s="194">
        <v>13000</v>
      </c>
      <c r="G376" s="152">
        <v>199862000</v>
      </c>
      <c r="H376" s="3">
        <f t="shared" si="34"/>
        <v>981976.45999999961</v>
      </c>
      <c r="I376" s="4">
        <f t="shared" si="35"/>
        <v>15391011174.546032</v>
      </c>
    </row>
    <row r="377" spans="1:9" ht="15" customHeight="1" x14ac:dyDescent="0.2">
      <c r="A377" s="2">
        <v>45223</v>
      </c>
      <c r="C377" s="1" t="s">
        <v>411</v>
      </c>
      <c r="F377" s="162">
        <v>153805.93</v>
      </c>
      <c r="G377" s="32">
        <v>2452127941.9899998</v>
      </c>
      <c r="H377" s="3">
        <f t="shared" si="34"/>
        <v>828170.52999999956</v>
      </c>
      <c r="I377" s="4">
        <f t="shared" si="35"/>
        <v>12938883232.556032</v>
      </c>
    </row>
    <row r="378" spans="1:9" ht="15" customHeight="1" x14ac:dyDescent="0.2">
      <c r="A378" s="2">
        <v>45223</v>
      </c>
      <c r="B378" s="1"/>
      <c r="C378" s="1" t="s">
        <v>256</v>
      </c>
      <c r="E378" s="4"/>
      <c r="F378" s="162">
        <v>30000</v>
      </c>
      <c r="G378" s="32">
        <v>461490000</v>
      </c>
      <c r="H378" s="3">
        <f t="shared" si="34"/>
        <v>798170.52999999956</v>
      </c>
      <c r="I378" s="4">
        <f t="shared" si="35"/>
        <v>12477393232.556032</v>
      </c>
    </row>
    <row r="379" spans="1:9" ht="15" customHeight="1" x14ac:dyDescent="0.2">
      <c r="A379" s="2">
        <v>45230</v>
      </c>
      <c r="B379" s="1"/>
      <c r="C379" s="1" t="s">
        <v>256</v>
      </c>
      <c r="D379" s="17"/>
      <c r="F379" s="199">
        <v>30000</v>
      </c>
      <c r="G379" s="32">
        <v>460560000</v>
      </c>
      <c r="H379" s="3">
        <f t="shared" ref="H379:H380" si="37">+H378+D379-F379</f>
        <v>768170.52999999956</v>
      </c>
      <c r="I379" s="4">
        <f t="shared" ref="I379:I380" si="38">+I378+E379-G379</f>
        <v>12016833232.556032</v>
      </c>
    </row>
    <row r="380" spans="1:9" ht="15" customHeight="1" x14ac:dyDescent="0.2">
      <c r="A380" s="2">
        <v>45230</v>
      </c>
      <c r="C380" s="1" t="s">
        <v>18</v>
      </c>
      <c r="G380" s="32">
        <f>70966133.58+4700379.4+6110659.87-3016273.4-27681035.06+12600000</f>
        <v>63679864.390000001</v>
      </c>
      <c r="H380" s="3">
        <f t="shared" si="37"/>
        <v>768170.52999999956</v>
      </c>
      <c r="I380" s="4">
        <f t="shared" si="38"/>
        <v>11953153368.166033</v>
      </c>
    </row>
    <row r="383" spans="1:9" ht="15" customHeight="1" x14ac:dyDescent="0.2">
      <c r="H383" s="3">
        <f>+H380+UM!H416</f>
        <v>-758775.89999999991</v>
      </c>
      <c r="I383" s="4">
        <f>+I380+UM!I416</f>
        <v>-11110929217.549978</v>
      </c>
    </row>
    <row r="384" spans="1:9" ht="15" customHeight="1" x14ac:dyDescent="0.2">
      <c r="H384" s="3">
        <f>RINCIAN!J765</f>
        <v>-321737.65999999997</v>
      </c>
      <c r="I384" s="4">
        <f>RINCIAN!K765</f>
        <v>-4663814112.6300001</v>
      </c>
    </row>
    <row r="385" spans="1:9" ht="15" customHeight="1" x14ac:dyDescent="0.2">
      <c r="H385" s="3">
        <f>H383-H384</f>
        <v>-437038.23999999993</v>
      </c>
      <c r="I385" s="4">
        <f>I383-I384</f>
        <v>-6447115104.9199781</v>
      </c>
    </row>
    <row r="388" spans="1:9" ht="15" customHeight="1" x14ac:dyDescent="0.2">
      <c r="A388" s="2">
        <v>45231</v>
      </c>
      <c r="C388" s="1" t="s">
        <v>40</v>
      </c>
      <c r="D388" s="71">
        <v>186274.09</v>
      </c>
      <c r="E388" s="32">
        <v>2963993320.0799999</v>
      </c>
      <c r="H388" s="3">
        <f>+H380+D388-F388</f>
        <v>954444.61999999953</v>
      </c>
      <c r="I388" s="4">
        <f>+I380+E388-G388</f>
        <v>14917146688.246033</v>
      </c>
    </row>
    <row r="389" spans="1:9" ht="15" customHeight="1" x14ac:dyDescent="0.2">
      <c r="A389" s="2">
        <v>45236</v>
      </c>
      <c r="C389" s="1" t="s">
        <v>16</v>
      </c>
      <c r="D389" s="169">
        <v>153285.6</v>
      </c>
      <c r="E389" s="32">
        <v>2439080467.1999998</v>
      </c>
      <c r="H389" s="3">
        <f t="shared" ref="H389:I393" si="39">+H388+D389-F389</f>
        <v>1107730.2199999995</v>
      </c>
      <c r="I389" s="4">
        <f t="shared" si="39"/>
        <v>17356227155.446033</v>
      </c>
    </row>
    <row r="390" spans="1:9" ht="15" customHeight="1" x14ac:dyDescent="0.2">
      <c r="A390" s="2">
        <v>45250</v>
      </c>
      <c r="C390" s="1" t="s">
        <v>16</v>
      </c>
      <c r="D390" s="169">
        <v>85859.69</v>
      </c>
      <c r="E390" s="32">
        <v>1341385936.8699999</v>
      </c>
      <c r="H390" s="3">
        <f t="shared" si="39"/>
        <v>1193589.9099999995</v>
      </c>
      <c r="I390" s="4">
        <f t="shared" si="39"/>
        <v>18697613092.316032</v>
      </c>
    </row>
    <row r="391" spans="1:9" ht="15" customHeight="1" x14ac:dyDescent="0.2">
      <c r="A391" s="2">
        <v>45250</v>
      </c>
      <c r="C391" s="1" t="s">
        <v>16</v>
      </c>
      <c r="D391" s="169">
        <v>163147.04</v>
      </c>
      <c r="E391" s="32">
        <v>2548846205.9200001</v>
      </c>
      <c r="H391" s="3">
        <f t="shared" si="39"/>
        <v>1356736.9499999995</v>
      </c>
      <c r="I391" s="4">
        <f t="shared" si="39"/>
        <v>21246459298.236031</v>
      </c>
    </row>
    <row r="392" spans="1:9" ht="15" customHeight="1" x14ac:dyDescent="0.2">
      <c r="A392" s="2">
        <v>45254</v>
      </c>
      <c r="C392" s="1" t="s">
        <v>328</v>
      </c>
      <c r="D392" s="16">
        <v>65383.86</v>
      </c>
      <c r="E392" s="32">
        <v>1020184367.58</v>
      </c>
      <c r="H392" s="3">
        <f t="shared" si="39"/>
        <v>1422120.8099999996</v>
      </c>
      <c r="I392" s="4">
        <f t="shared" si="39"/>
        <v>22266643665.816032</v>
      </c>
    </row>
    <row r="393" spans="1:9" ht="15" customHeight="1" x14ac:dyDescent="0.2">
      <c r="A393" s="2">
        <v>45254</v>
      </c>
      <c r="C393" s="1" t="s">
        <v>40</v>
      </c>
      <c r="D393" s="71">
        <v>185076.34</v>
      </c>
      <c r="E393" s="32">
        <v>2887746133.02</v>
      </c>
      <c r="H393" s="3">
        <f t="shared" si="39"/>
        <v>1607197.1499999997</v>
      </c>
      <c r="I393" s="4">
        <f t="shared" si="39"/>
        <v>25154389798.836033</v>
      </c>
    </row>
    <row r="394" spans="1:9" ht="15" customHeight="1" x14ac:dyDescent="0.2">
      <c r="A394" s="2">
        <v>45254</v>
      </c>
      <c r="C394" s="1" t="s">
        <v>40</v>
      </c>
      <c r="D394" s="71">
        <v>186298.26</v>
      </c>
      <c r="E394" s="32">
        <v>2906811750.7800002</v>
      </c>
      <c r="H394" s="3">
        <f t="shared" ref="H394:H435" si="40">+H393+D394-F394</f>
        <v>1793495.4099999997</v>
      </c>
      <c r="I394" s="4">
        <f t="shared" ref="I394:I435" si="41">+I393+E394-G394</f>
        <v>28061201549.616032</v>
      </c>
    </row>
    <row r="395" spans="1:9" ht="15" customHeight="1" x14ac:dyDescent="0.2">
      <c r="A395" s="2">
        <v>45257</v>
      </c>
      <c r="C395" s="1" t="s">
        <v>16</v>
      </c>
      <c r="D395" s="169">
        <v>92297.46</v>
      </c>
      <c r="E395" s="32">
        <v>1440117268.3800001</v>
      </c>
      <c r="H395" s="3">
        <f t="shared" si="40"/>
        <v>1885792.8699999996</v>
      </c>
      <c r="I395" s="4">
        <f t="shared" si="41"/>
        <v>29501318817.996033</v>
      </c>
    </row>
    <row r="396" spans="1:9" ht="15" customHeight="1" x14ac:dyDescent="0.2">
      <c r="A396" s="2">
        <v>45257</v>
      </c>
      <c r="C396" s="1" t="s">
        <v>16</v>
      </c>
      <c r="D396" s="169">
        <v>162780.13</v>
      </c>
      <c r="E396" s="32">
        <v>2539858368.3899999</v>
      </c>
      <c r="H396" s="3">
        <f t="shared" si="40"/>
        <v>2048572.9999999995</v>
      </c>
      <c r="I396" s="4">
        <f t="shared" si="41"/>
        <v>32041177186.386032</v>
      </c>
    </row>
    <row r="397" spans="1:9" ht="15" customHeight="1" x14ac:dyDescent="0.2">
      <c r="A397" s="2">
        <v>45260</v>
      </c>
      <c r="C397" s="1" t="s">
        <v>40</v>
      </c>
      <c r="D397" s="71">
        <v>122084.78</v>
      </c>
      <c r="E397" s="32">
        <v>1895244124.72</v>
      </c>
      <c r="H397" s="3">
        <f t="shared" si="40"/>
        <v>2170657.7799999993</v>
      </c>
      <c r="I397" s="4">
        <f t="shared" si="41"/>
        <v>33936421311.106033</v>
      </c>
    </row>
    <row r="398" spans="1:9" ht="15" customHeight="1" x14ac:dyDescent="0.2">
      <c r="A398" s="2">
        <v>45231</v>
      </c>
      <c r="C398" s="1" t="s">
        <v>416</v>
      </c>
      <c r="F398" s="199">
        <v>155688.76</v>
      </c>
      <c r="G398" s="32">
        <v>2474984217.7199998</v>
      </c>
      <c r="H398" s="3">
        <f t="shared" si="40"/>
        <v>2014969.0199999993</v>
      </c>
      <c r="I398" s="4">
        <f t="shared" si="41"/>
        <v>31461437093.386032</v>
      </c>
    </row>
    <row r="399" spans="1:9" ht="15" customHeight="1" x14ac:dyDescent="0.2">
      <c r="A399" s="2">
        <v>45231</v>
      </c>
      <c r="C399" s="1" t="s">
        <v>17</v>
      </c>
      <c r="F399" s="199">
        <v>30</v>
      </c>
      <c r="G399" s="32">
        <v>476910</v>
      </c>
      <c r="H399" s="3">
        <f t="shared" si="40"/>
        <v>2014939.0199999993</v>
      </c>
      <c r="I399" s="4">
        <f t="shared" si="41"/>
        <v>31460960183.386032</v>
      </c>
    </row>
    <row r="400" spans="1:9" ht="15" customHeight="1" x14ac:dyDescent="0.2">
      <c r="A400" s="2">
        <v>45231</v>
      </c>
      <c r="C400" s="1" t="s">
        <v>418</v>
      </c>
      <c r="F400" s="169">
        <v>126250.6</v>
      </c>
      <c r="G400" s="32">
        <v>2007005788.2</v>
      </c>
      <c r="H400" s="3">
        <f t="shared" si="40"/>
        <v>1888688.4199999992</v>
      </c>
      <c r="I400" s="4">
        <f t="shared" si="41"/>
        <v>29453954395.186031</v>
      </c>
    </row>
    <row r="401" spans="1:9" ht="15" customHeight="1" x14ac:dyDescent="0.2">
      <c r="A401" s="2">
        <v>45231</v>
      </c>
      <c r="C401" s="1" t="s">
        <v>17</v>
      </c>
      <c r="F401" s="169">
        <v>35</v>
      </c>
      <c r="G401" s="32">
        <v>556395</v>
      </c>
      <c r="H401" s="3">
        <f t="shared" si="40"/>
        <v>1888653.4199999992</v>
      </c>
      <c r="I401" s="4">
        <f t="shared" si="41"/>
        <v>29453398000.186031</v>
      </c>
    </row>
    <row r="402" spans="1:9" ht="15" customHeight="1" x14ac:dyDescent="0.2">
      <c r="A402" s="2">
        <v>45231</v>
      </c>
      <c r="C402" s="1" t="s">
        <v>256</v>
      </c>
      <c r="F402" s="223">
        <v>24000</v>
      </c>
      <c r="G402" s="152">
        <v>368976000</v>
      </c>
      <c r="H402" s="3">
        <f t="shared" si="40"/>
        <v>1864653.4199999992</v>
      </c>
      <c r="I402" s="4">
        <f t="shared" si="41"/>
        <v>29084422000.186031</v>
      </c>
    </row>
    <row r="403" spans="1:9" ht="15" customHeight="1" x14ac:dyDescent="0.2">
      <c r="A403" s="2">
        <v>45231</v>
      </c>
      <c r="C403" s="1" t="s">
        <v>256</v>
      </c>
      <c r="F403" s="223">
        <v>3000</v>
      </c>
      <c r="G403" s="152">
        <v>46122000</v>
      </c>
      <c r="H403" s="3">
        <f t="shared" si="40"/>
        <v>1861653.4199999992</v>
      </c>
      <c r="I403" s="4">
        <f t="shared" si="41"/>
        <v>29038300000.186031</v>
      </c>
    </row>
    <row r="404" spans="1:9" ht="15" customHeight="1" x14ac:dyDescent="0.2">
      <c r="A404" s="2">
        <v>45236</v>
      </c>
      <c r="C404" s="1" t="s">
        <v>419</v>
      </c>
      <c r="F404" s="71">
        <v>156244.09</v>
      </c>
      <c r="G404" s="32">
        <v>2464125543.3899999</v>
      </c>
      <c r="H404" s="3">
        <f t="shared" si="40"/>
        <v>1705409.3299999991</v>
      </c>
      <c r="I404" s="4">
        <f t="shared" si="41"/>
        <v>26574174456.796032</v>
      </c>
    </row>
    <row r="405" spans="1:9" ht="15" customHeight="1" x14ac:dyDescent="0.2">
      <c r="A405" s="2">
        <v>45236</v>
      </c>
      <c r="C405" s="1" t="s">
        <v>17</v>
      </c>
      <c r="F405" s="71">
        <v>30</v>
      </c>
      <c r="G405" s="32">
        <v>473130</v>
      </c>
      <c r="H405" s="3">
        <f t="shared" si="40"/>
        <v>1705379.3299999991</v>
      </c>
      <c r="I405" s="4">
        <f t="shared" si="41"/>
        <v>26573701326.796032</v>
      </c>
    </row>
    <row r="406" spans="1:9" ht="15" customHeight="1" x14ac:dyDescent="0.2">
      <c r="A406" s="2">
        <v>45236</v>
      </c>
      <c r="B406" s="1"/>
      <c r="C406" s="1" t="s">
        <v>256</v>
      </c>
      <c r="D406" s="17"/>
      <c r="F406" s="71">
        <v>20000</v>
      </c>
      <c r="G406" s="32">
        <v>307040000</v>
      </c>
      <c r="H406" s="3">
        <f t="shared" si="40"/>
        <v>1685379.3299999991</v>
      </c>
      <c r="I406" s="4">
        <f t="shared" si="41"/>
        <v>26266661326.796032</v>
      </c>
    </row>
    <row r="407" spans="1:9" ht="15" customHeight="1" x14ac:dyDescent="0.2">
      <c r="A407" s="2">
        <v>45236</v>
      </c>
      <c r="B407" s="1"/>
      <c r="C407" s="1" t="s">
        <v>256</v>
      </c>
      <c r="D407" s="17"/>
      <c r="F407" s="71">
        <v>10000</v>
      </c>
      <c r="G407" s="32">
        <v>156000000</v>
      </c>
      <c r="H407" s="3">
        <f t="shared" si="40"/>
        <v>1675379.3299999991</v>
      </c>
      <c r="I407" s="4">
        <f t="shared" si="41"/>
        <v>26110661326.796032</v>
      </c>
    </row>
    <row r="408" spans="1:9" ht="15" customHeight="1" x14ac:dyDescent="0.2">
      <c r="A408" s="2">
        <v>45245</v>
      </c>
      <c r="B408" s="1"/>
      <c r="C408" s="1" t="s">
        <v>434</v>
      </c>
      <c r="D408" s="17"/>
      <c r="F408" s="169">
        <v>73859.69</v>
      </c>
      <c r="G408" s="32">
        <v>1159523273.3099999</v>
      </c>
      <c r="H408" s="3">
        <f t="shared" si="40"/>
        <v>1601519.6399999992</v>
      </c>
      <c r="I408" s="4">
        <f t="shared" si="41"/>
        <v>24951138053.486031</v>
      </c>
    </row>
    <row r="409" spans="1:9" ht="15" customHeight="1" x14ac:dyDescent="0.2">
      <c r="A409" s="2">
        <v>45245</v>
      </c>
      <c r="B409" s="1"/>
      <c r="C409" s="1" t="s">
        <v>256</v>
      </c>
      <c r="D409" s="17"/>
      <c r="F409" s="223">
        <v>12000</v>
      </c>
      <c r="G409" s="152">
        <v>184488000</v>
      </c>
      <c r="H409" s="3">
        <f t="shared" si="40"/>
        <v>1589519.6399999992</v>
      </c>
      <c r="I409" s="4">
        <f t="shared" si="41"/>
        <v>24766650053.486031</v>
      </c>
    </row>
    <row r="410" spans="1:9" ht="15" customHeight="1" x14ac:dyDescent="0.2">
      <c r="A410" s="2">
        <v>45245</v>
      </c>
      <c r="B410" s="1"/>
      <c r="C410" s="1" t="s">
        <v>435</v>
      </c>
      <c r="D410" s="17"/>
      <c r="F410" s="169">
        <v>138147.04</v>
      </c>
      <c r="G410" s="32">
        <v>2168770380.96</v>
      </c>
      <c r="H410" s="3">
        <f t="shared" si="40"/>
        <v>1451372.5999999992</v>
      </c>
      <c r="I410" s="4">
        <f t="shared" si="41"/>
        <v>22597879672.526031</v>
      </c>
    </row>
    <row r="411" spans="1:9" ht="15" customHeight="1" x14ac:dyDescent="0.2">
      <c r="A411" s="2">
        <v>45245</v>
      </c>
      <c r="C411" s="1" t="s">
        <v>256</v>
      </c>
      <c r="F411" s="223">
        <v>12000</v>
      </c>
      <c r="G411" s="152">
        <v>184488000</v>
      </c>
      <c r="H411" s="3">
        <f t="shared" si="40"/>
        <v>1439372.5999999992</v>
      </c>
      <c r="I411" s="4">
        <f t="shared" si="41"/>
        <v>22413391672.526031</v>
      </c>
    </row>
    <row r="412" spans="1:9" ht="15" customHeight="1" x14ac:dyDescent="0.2">
      <c r="A412" s="2">
        <v>45245</v>
      </c>
      <c r="C412" s="1" t="s">
        <v>256</v>
      </c>
      <c r="F412" s="223">
        <v>13000</v>
      </c>
      <c r="G412" s="152">
        <v>199862000</v>
      </c>
      <c r="H412" s="3">
        <f t="shared" si="40"/>
        <v>1426372.5999999992</v>
      </c>
      <c r="I412" s="4">
        <f t="shared" si="41"/>
        <v>22213529672.526031</v>
      </c>
    </row>
    <row r="413" spans="1:9" ht="15" customHeight="1" x14ac:dyDescent="0.2">
      <c r="A413" s="2">
        <v>45245</v>
      </c>
      <c r="B413" s="1"/>
      <c r="C413" s="1" t="s">
        <v>435</v>
      </c>
      <c r="D413" s="17"/>
      <c r="F413" s="169">
        <f>608.09</f>
        <v>608.09</v>
      </c>
      <c r="G413" s="32">
        <v>9546404.9100000001</v>
      </c>
      <c r="H413" s="3">
        <f t="shared" si="40"/>
        <v>1425764.5099999991</v>
      </c>
      <c r="I413" s="4">
        <f t="shared" si="41"/>
        <v>22203983267.616032</v>
      </c>
    </row>
    <row r="414" spans="1:9" ht="15" customHeight="1" x14ac:dyDescent="0.2">
      <c r="A414" s="2">
        <v>45245</v>
      </c>
      <c r="B414" s="1"/>
      <c r="C414" s="1" t="s">
        <v>17</v>
      </c>
      <c r="D414" s="17"/>
      <c r="F414" s="169">
        <v>25</v>
      </c>
      <c r="G414" s="32">
        <v>392475</v>
      </c>
      <c r="H414" s="3">
        <f t="shared" ref="H414:H415" si="42">+H413+D414-F414</f>
        <v>1425739.5099999991</v>
      </c>
      <c r="I414" s="4">
        <f t="shared" ref="I414:I415" si="43">+I413+E414-G414</f>
        <v>22203590792.616032</v>
      </c>
    </row>
    <row r="415" spans="1:9" ht="15" customHeight="1" x14ac:dyDescent="0.2">
      <c r="A415" s="2">
        <v>45252</v>
      </c>
      <c r="C415" s="1" t="s">
        <v>420</v>
      </c>
      <c r="F415" s="16">
        <v>48062.86</v>
      </c>
      <c r="G415" s="32">
        <v>741898306.96000004</v>
      </c>
      <c r="H415" s="3">
        <f t="shared" si="42"/>
        <v>1377676.649999999</v>
      </c>
      <c r="I415" s="4">
        <f t="shared" si="43"/>
        <v>21461692485.656033</v>
      </c>
    </row>
    <row r="416" spans="1:9" ht="15" customHeight="1" x14ac:dyDescent="0.2">
      <c r="A416" s="2">
        <v>45252</v>
      </c>
      <c r="C416" s="1" t="s">
        <v>17</v>
      </c>
      <c r="F416" s="16">
        <v>17</v>
      </c>
      <c r="G416" s="32">
        <v>262412</v>
      </c>
      <c r="H416" s="3">
        <f t="shared" si="40"/>
        <v>1377659.649999999</v>
      </c>
      <c r="I416" s="4">
        <f t="shared" si="41"/>
        <v>21461430073.656033</v>
      </c>
    </row>
    <row r="417" spans="1:9" ht="15" customHeight="1" x14ac:dyDescent="0.2">
      <c r="A417" s="2">
        <v>45252</v>
      </c>
      <c r="B417" s="1"/>
      <c r="C417" s="1" t="s">
        <v>256</v>
      </c>
      <c r="D417" s="17"/>
      <c r="F417" s="16">
        <v>17304</v>
      </c>
      <c r="G417" s="32">
        <v>267589056</v>
      </c>
      <c r="H417" s="3">
        <f t="shared" si="40"/>
        <v>1360355.649999999</v>
      </c>
      <c r="I417" s="4">
        <f t="shared" si="41"/>
        <v>21193841017.656033</v>
      </c>
    </row>
    <row r="418" spans="1:9" ht="15" customHeight="1" x14ac:dyDescent="0.2">
      <c r="A418" s="2">
        <v>45252</v>
      </c>
      <c r="C418" s="1" t="s">
        <v>421</v>
      </c>
      <c r="F418" s="71">
        <v>145046.34</v>
      </c>
      <c r="G418" s="32">
        <v>2238935304.2399998</v>
      </c>
      <c r="H418" s="3">
        <f t="shared" si="40"/>
        <v>1215309.3099999989</v>
      </c>
      <c r="I418" s="4">
        <f t="shared" si="41"/>
        <v>18954905713.416031</v>
      </c>
    </row>
    <row r="419" spans="1:9" ht="15" customHeight="1" x14ac:dyDescent="0.2">
      <c r="A419" s="2">
        <v>45252</v>
      </c>
      <c r="C419" s="1" t="s">
        <v>17</v>
      </c>
      <c r="F419" s="71">
        <v>30</v>
      </c>
      <c r="G419" s="32">
        <v>463080</v>
      </c>
      <c r="H419" s="3">
        <f t="shared" si="40"/>
        <v>1215279.3099999989</v>
      </c>
      <c r="I419" s="4">
        <f t="shared" si="41"/>
        <v>18954442633.416031</v>
      </c>
    </row>
    <row r="420" spans="1:9" ht="15" customHeight="1" x14ac:dyDescent="0.2">
      <c r="A420" s="2">
        <v>45252</v>
      </c>
      <c r="B420" s="1"/>
      <c r="C420" s="1" t="s">
        <v>256</v>
      </c>
      <c r="D420" s="17"/>
      <c r="F420" s="71">
        <v>20000</v>
      </c>
      <c r="G420" s="32">
        <v>312000000</v>
      </c>
      <c r="H420" s="3">
        <f t="shared" si="40"/>
        <v>1195279.3099999989</v>
      </c>
      <c r="I420" s="4">
        <f t="shared" si="41"/>
        <v>18642442633.416031</v>
      </c>
    </row>
    <row r="421" spans="1:9" ht="15" customHeight="1" x14ac:dyDescent="0.2">
      <c r="A421" s="2">
        <v>45252</v>
      </c>
      <c r="B421" s="1"/>
      <c r="C421" s="1" t="s">
        <v>256</v>
      </c>
      <c r="D421" s="17"/>
      <c r="F421" s="71">
        <v>10000</v>
      </c>
      <c r="G421" s="32">
        <v>153520000</v>
      </c>
      <c r="H421" s="3">
        <f t="shared" si="40"/>
        <v>1185279.3099999989</v>
      </c>
      <c r="I421" s="4">
        <f t="shared" si="41"/>
        <v>18488922633.416031</v>
      </c>
    </row>
    <row r="422" spans="1:9" ht="15" customHeight="1" x14ac:dyDescent="0.2">
      <c r="A422" s="2">
        <v>45252</v>
      </c>
      <c r="B422" s="1"/>
      <c r="C422" s="1" t="s">
        <v>256</v>
      </c>
      <c r="E422" s="4"/>
      <c r="F422" s="71">
        <v>10000</v>
      </c>
      <c r="G422" s="32">
        <v>153830000</v>
      </c>
      <c r="H422" s="3">
        <f t="shared" si="40"/>
        <v>1175279.3099999989</v>
      </c>
      <c r="I422" s="4">
        <f t="shared" si="41"/>
        <v>18335092633.416031</v>
      </c>
    </row>
    <row r="423" spans="1:9" ht="15" customHeight="1" x14ac:dyDescent="0.2">
      <c r="A423" s="2">
        <v>45254</v>
      </c>
      <c r="C423" s="1" t="s">
        <v>422</v>
      </c>
      <c r="F423" s="169">
        <v>92673.04</v>
      </c>
      <c r="G423" s="32">
        <v>1445050712.72</v>
      </c>
      <c r="H423" s="3">
        <f t="shared" si="40"/>
        <v>1082606.2699999989</v>
      </c>
      <c r="I423" s="4">
        <f t="shared" si="41"/>
        <v>16890041920.696032</v>
      </c>
    </row>
    <row r="424" spans="1:9" ht="15" customHeight="1" x14ac:dyDescent="0.2">
      <c r="A424" s="2">
        <v>45254</v>
      </c>
      <c r="C424" s="1" t="s">
        <v>17</v>
      </c>
      <c r="F424" s="169">
        <v>25</v>
      </c>
      <c r="G424" s="32">
        <v>389825</v>
      </c>
      <c r="H424" s="3">
        <f t="shared" si="40"/>
        <v>1082581.2699999989</v>
      </c>
      <c r="I424" s="4">
        <f t="shared" si="41"/>
        <v>16889652095.696032</v>
      </c>
    </row>
    <row r="425" spans="1:9" ht="15" customHeight="1" x14ac:dyDescent="0.2">
      <c r="A425" s="2">
        <v>45254</v>
      </c>
      <c r="C425" s="1" t="s">
        <v>256</v>
      </c>
      <c r="F425" s="223">
        <v>23669</v>
      </c>
      <c r="G425" s="152">
        <v>363887206</v>
      </c>
      <c r="H425" s="3">
        <f t="shared" si="40"/>
        <v>1058912.2699999989</v>
      </c>
      <c r="I425" s="4">
        <f t="shared" si="41"/>
        <v>16525764889.696032</v>
      </c>
    </row>
    <row r="426" spans="1:9" ht="15" customHeight="1" x14ac:dyDescent="0.2">
      <c r="A426" s="2">
        <v>45254</v>
      </c>
      <c r="C426" s="1" t="s">
        <v>256</v>
      </c>
      <c r="F426" s="223">
        <v>45780</v>
      </c>
      <c r="G426" s="152">
        <v>703821720</v>
      </c>
      <c r="H426" s="3">
        <f t="shared" si="40"/>
        <v>1013132.2699999989</v>
      </c>
      <c r="I426" s="4">
        <f t="shared" si="41"/>
        <v>15821943169.696032</v>
      </c>
    </row>
    <row r="427" spans="1:9" ht="15" customHeight="1" x14ac:dyDescent="0.2">
      <c r="A427" s="2">
        <v>45257</v>
      </c>
      <c r="C427" s="1" t="s">
        <v>423</v>
      </c>
      <c r="F427" s="71">
        <v>150444.26</v>
      </c>
      <c r="G427" s="32">
        <v>2344974680.6199999</v>
      </c>
      <c r="H427" s="3">
        <f t="shared" si="40"/>
        <v>862688.00999999885</v>
      </c>
      <c r="I427" s="4">
        <f t="shared" si="41"/>
        <v>13476968489.076031</v>
      </c>
    </row>
    <row r="428" spans="1:9" ht="15" customHeight="1" x14ac:dyDescent="0.2">
      <c r="A428" s="2">
        <v>45257</v>
      </c>
      <c r="C428" s="1" t="s">
        <v>17</v>
      </c>
      <c r="F428" s="71">
        <v>30</v>
      </c>
      <c r="G428" s="32">
        <v>467610</v>
      </c>
      <c r="H428" s="3">
        <f t="shared" si="40"/>
        <v>862658.00999999885</v>
      </c>
      <c r="I428" s="4">
        <f t="shared" si="41"/>
        <v>13476500879.076031</v>
      </c>
    </row>
    <row r="429" spans="1:9" ht="15" customHeight="1" x14ac:dyDescent="0.2">
      <c r="A429" s="2">
        <v>45257</v>
      </c>
      <c r="B429" s="1"/>
      <c r="C429" s="1" t="s">
        <v>256</v>
      </c>
      <c r="D429" s="17"/>
      <c r="F429" s="71">
        <v>13483.2</v>
      </c>
      <c r="G429" s="32">
        <v>206994086.40000001</v>
      </c>
      <c r="H429" s="3">
        <f t="shared" si="40"/>
        <v>849174.80999999889</v>
      </c>
      <c r="I429" s="4">
        <f t="shared" si="41"/>
        <v>13269506792.676031</v>
      </c>
    </row>
    <row r="430" spans="1:9" ht="15" customHeight="1" x14ac:dyDescent="0.2">
      <c r="A430" s="2">
        <v>45257</v>
      </c>
      <c r="B430" s="1"/>
      <c r="C430" s="1" t="s">
        <v>256</v>
      </c>
      <c r="D430" s="17"/>
      <c r="F430" s="71">
        <v>10000</v>
      </c>
      <c r="G430" s="32">
        <v>156000000</v>
      </c>
      <c r="H430" s="3">
        <f t="shared" si="40"/>
        <v>839174.80999999889</v>
      </c>
      <c r="I430" s="4">
        <f t="shared" si="41"/>
        <v>13113506792.676031</v>
      </c>
    </row>
    <row r="431" spans="1:9" ht="15" customHeight="1" x14ac:dyDescent="0.2">
      <c r="A431" s="2">
        <v>45257</v>
      </c>
      <c r="B431" s="1"/>
      <c r="C431" s="1" t="s">
        <v>256</v>
      </c>
      <c r="D431" s="17"/>
      <c r="F431" s="71">
        <v>12340.8</v>
      </c>
      <c r="G431" s="32">
        <v>196749374.40000001</v>
      </c>
      <c r="H431" s="3">
        <f t="shared" si="40"/>
        <v>826834.00999999885</v>
      </c>
      <c r="I431" s="4">
        <f t="shared" si="41"/>
        <v>12916757418.276031</v>
      </c>
    </row>
    <row r="432" spans="1:9" ht="15" customHeight="1" x14ac:dyDescent="0.2">
      <c r="A432" s="2">
        <v>45257</v>
      </c>
      <c r="C432" s="1" t="s">
        <v>436</v>
      </c>
      <c r="F432" s="169">
        <v>0.01</v>
      </c>
      <c r="G432" s="32">
        <v>149.94</v>
      </c>
      <c r="H432" s="3">
        <f t="shared" si="40"/>
        <v>826833.99999999884</v>
      </c>
      <c r="I432" s="4">
        <f t="shared" si="41"/>
        <v>12916757268.336031</v>
      </c>
    </row>
    <row r="433" spans="1:9" ht="15" customHeight="1" x14ac:dyDescent="0.2">
      <c r="A433" s="2">
        <v>45259</v>
      </c>
      <c r="C433" s="1" t="s">
        <v>437</v>
      </c>
      <c r="F433" s="71">
        <v>92054.78</v>
      </c>
      <c r="G433" s="32">
        <v>1422246351</v>
      </c>
      <c r="H433" s="3">
        <f t="shared" si="40"/>
        <v>734779.21999999881</v>
      </c>
      <c r="I433" s="4">
        <f t="shared" si="41"/>
        <v>11494510917.336031</v>
      </c>
    </row>
    <row r="434" spans="1:9" ht="15" customHeight="1" x14ac:dyDescent="0.2">
      <c r="A434" s="2">
        <v>45259</v>
      </c>
      <c r="C434" s="1" t="s">
        <v>17</v>
      </c>
      <c r="F434" s="71">
        <v>30</v>
      </c>
      <c r="G434" s="32">
        <v>463500</v>
      </c>
      <c r="H434" s="3">
        <f t="shared" si="40"/>
        <v>734749.21999999881</v>
      </c>
      <c r="I434" s="4">
        <f t="shared" si="41"/>
        <v>11494047417.336031</v>
      </c>
    </row>
    <row r="435" spans="1:9" ht="15" customHeight="1" x14ac:dyDescent="0.2">
      <c r="A435" s="2">
        <v>45259</v>
      </c>
      <c r="B435" s="1"/>
      <c r="C435" s="1" t="s">
        <v>256</v>
      </c>
      <c r="D435" s="17"/>
      <c r="F435" s="71">
        <v>10000</v>
      </c>
      <c r="G435" s="32">
        <v>156000000</v>
      </c>
      <c r="H435" s="3">
        <f t="shared" si="40"/>
        <v>724749.21999999881</v>
      </c>
      <c r="I435" s="4">
        <f t="shared" si="41"/>
        <v>11338047417.336031</v>
      </c>
    </row>
    <row r="436" spans="1:9" ht="15" customHeight="1" x14ac:dyDescent="0.2">
      <c r="A436" s="2">
        <v>45259</v>
      </c>
      <c r="B436" s="1"/>
      <c r="C436" s="1" t="s">
        <v>256</v>
      </c>
      <c r="F436" s="71">
        <v>20000</v>
      </c>
      <c r="G436" s="32">
        <v>298589493.884</v>
      </c>
      <c r="H436" s="3">
        <f t="shared" ref="H436:H437" si="44">+H435+D436-F436</f>
        <v>704749.21999999881</v>
      </c>
      <c r="I436" s="4">
        <f t="shared" ref="I436:I437" si="45">+I435+E436-G436</f>
        <v>11039457923.45203</v>
      </c>
    </row>
    <row r="437" spans="1:9" ht="15" customHeight="1" x14ac:dyDescent="0.2">
      <c r="A437" s="2">
        <v>45260</v>
      </c>
      <c r="C437" s="1" t="s">
        <v>18</v>
      </c>
      <c r="G437" s="32">
        <f>10434592.62+84923174.6660004+26290797.2800007-19464845+56209153.14</f>
        <v>158392872.7060011</v>
      </c>
      <c r="H437" s="6">
        <f t="shared" si="44"/>
        <v>704749.21999999881</v>
      </c>
      <c r="I437" s="7">
        <f t="shared" si="45"/>
        <v>10881065050.746029</v>
      </c>
    </row>
    <row r="439" spans="1:9" ht="15" customHeight="1" x14ac:dyDescent="0.2">
      <c r="H439" s="3">
        <f>+H437+UM!H439</f>
        <v>-535620.21000000066</v>
      </c>
      <c r="I439" s="4">
        <f>+I437+UM!I439</f>
        <v>-7767060598.2859802</v>
      </c>
    </row>
    <row r="440" spans="1:9" ht="15" customHeight="1" x14ac:dyDescent="0.2">
      <c r="H440" s="3">
        <f>RINCIAN!J765</f>
        <v>-321737.65999999997</v>
      </c>
      <c r="I440" s="4">
        <f>RINCIAN!K765</f>
        <v>-4663814112.6300001</v>
      </c>
    </row>
    <row r="441" spans="1:9" ht="15" customHeight="1" x14ac:dyDescent="0.2">
      <c r="F441" s="17"/>
      <c r="H441" s="3">
        <f>H439-H440</f>
        <v>-213882.55000000069</v>
      </c>
      <c r="I441" s="3">
        <f>I439-I440</f>
        <v>-3103246485.6559801</v>
      </c>
    </row>
    <row r="442" spans="1:9" ht="15" customHeight="1" x14ac:dyDescent="0.2">
      <c r="F442" s="17"/>
    </row>
    <row r="443" spans="1:9" ht="15" customHeight="1" x14ac:dyDescent="0.2">
      <c r="A443" s="2">
        <v>45273</v>
      </c>
      <c r="B443" s="1"/>
      <c r="C443" s="1" t="s">
        <v>81</v>
      </c>
      <c r="D443" s="66">
        <v>66628.23</v>
      </c>
      <c r="E443" s="32">
        <v>1032604308.54</v>
      </c>
      <c r="F443" s="17"/>
      <c r="H443" s="3">
        <f>+H437+D443-F443</f>
        <v>771377.44999999879</v>
      </c>
      <c r="I443" s="4">
        <f>+I437+E443-G443</f>
        <v>11913669359.28603</v>
      </c>
    </row>
    <row r="444" spans="1:9" ht="15" customHeight="1" x14ac:dyDescent="0.2">
      <c r="A444" s="2">
        <v>45273</v>
      </c>
      <c r="B444" s="1"/>
      <c r="C444" s="1" t="s">
        <v>455</v>
      </c>
      <c r="D444" s="224">
        <v>68706</v>
      </c>
      <c r="E444" s="32">
        <v>1073943486</v>
      </c>
      <c r="F444" s="17"/>
      <c r="H444" s="3">
        <f>+H443+D444-F444</f>
        <v>840083.44999999879</v>
      </c>
      <c r="I444" s="4">
        <f>+I443+E444-G444</f>
        <v>12987612845.28603</v>
      </c>
    </row>
    <row r="445" spans="1:9" ht="15" customHeight="1" x14ac:dyDescent="0.2">
      <c r="A445" s="2">
        <v>45278</v>
      </c>
      <c r="C445" s="1" t="s">
        <v>40</v>
      </c>
      <c r="D445" s="16">
        <v>122509.27</v>
      </c>
      <c r="E445" s="32">
        <v>1898648666.46</v>
      </c>
      <c r="F445" s="17"/>
      <c r="H445" s="3">
        <f>+H444+D445-F445</f>
        <v>962592.71999999881</v>
      </c>
      <c r="I445" s="4">
        <f>+I444+E445-G445</f>
        <v>14886261511.746029</v>
      </c>
    </row>
    <row r="446" spans="1:9" ht="15" customHeight="1" x14ac:dyDescent="0.2">
      <c r="A446" s="2">
        <v>45281</v>
      </c>
      <c r="C446" s="1" t="s">
        <v>328</v>
      </c>
      <c r="D446" s="71">
        <v>66280.240000000005</v>
      </c>
      <c r="E446" s="32">
        <v>1032248457.76</v>
      </c>
      <c r="F446" s="17"/>
      <c r="H446" s="3">
        <f t="shared" ref="H446:H462" si="46">+H445+D446-F446</f>
        <v>1028872.9599999988</v>
      </c>
      <c r="I446" s="4">
        <f t="shared" ref="I446:I462" si="47">+I445+E446-G446</f>
        <v>15918509969.506029</v>
      </c>
    </row>
    <row r="447" spans="1:9" ht="15" customHeight="1" x14ac:dyDescent="0.2">
      <c r="A447" s="2">
        <v>45287</v>
      </c>
      <c r="C447" s="1" t="s">
        <v>40</v>
      </c>
      <c r="D447" s="16">
        <v>180335.92</v>
      </c>
      <c r="E447" s="32">
        <v>2797370791.04</v>
      </c>
      <c r="F447" s="17"/>
      <c r="H447" s="3">
        <f t="shared" si="46"/>
        <v>1209208.8799999987</v>
      </c>
      <c r="I447" s="4">
        <f t="shared" si="47"/>
        <v>18715880760.546028</v>
      </c>
    </row>
    <row r="448" spans="1:9" ht="15" customHeight="1" x14ac:dyDescent="0.2">
      <c r="A448" s="2">
        <v>45266</v>
      </c>
      <c r="C448" s="1" t="s">
        <v>449</v>
      </c>
      <c r="F448" s="66">
        <v>44092.53</v>
      </c>
      <c r="G448" s="32">
        <v>683610585.12</v>
      </c>
      <c r="H448" s="3">
        <f t="shared" si="46"/>
        <v>1165116.3499999987</v>
      </c>
      <c r="I448" s="4">
        <f t="shared" si="47"/>
        <v>18032270175.426029</v>
      </c>
    </row>
    <row r="449" spans="1:9" ht="15" customHeight="1" x14ac:dyDescent="0.2">
      <c r="A449" s="2">
        <v>45266</v>
      </c>
      <c r="C449" s="1" t="s">
        <v>17</v>
      </c>
      <c r="F449" s="66">
        <v>5</v>
      </c>
      <c r="G449" s="32">
        <v>77520</v>
      </c>
      <c r="H449" s="3">
        <f t="shared" si="46"/>
        <v>1165111.3499999987</v>
      </c>
      <c r="I449" s="4">
        <f t="shared" si="47"/>
        <v>18032192655.426029</v>
      </c>
    </row>
    <row r="450" spans="1:9" ht="15" customHeight="1" x14ac:dyDescent="0.2">
      <c r="A450" s="2">
        <v>45266</v>
      </c>
      <c r="B450" s="1"/>
      <c r="C450" s="1" t="s">
        <v>256</v>
      </c>
      <c r="D450" s="24"/>
      <c r="E450" s="73"/>
      <c r="F450" s="166">
        <v>22530.7</v>
      </c>
      <c r="G450" s="182">
        <v>349023073.69999999</v>
      </c>
      <c r="H450" s="3">
        <f t="shared" si="46"/>
        <v>1142580.6499999987</v>
      </c>
      <c r="I450" s="4">
        <f t="shared" si="47"/>
        <v>17683169581.726028</v>
      </c>
    </row>
    <row r="451" spans="1:9" ht="15" customHeight="1" x14ac:dyDescent="0.2">
      <c r="A451" s="2">
        <v>45273</v>
      </c>
      <c r="C451" s="1" t="s">
        <v>256</v>
      </c>
      <c r="F451" s="225">
        <v>68706</v>
      </c>
      <c r="G451" s="32">
        <v>1013138676</v>
      </c>
      <c r="H451" s="3">
        <f t="shared" ref="H451:H452" si="48">+H450+D451-F451</f>
        <v>1073874.6499999987</v>
      </c>
      <c r="I451" s="4">
        <f t="shared" ref="I451:I452" si="49">+I450+E451-G451</f>
        <v>16670030905.726028</v>
      </c>
    </row>
    <row r="452" spans="1:9" ht="15" customHeight="1" x14ac:dyDescent="0.2">
      <c r="A452" s="2">
        <v>45278</v>
      </c>
      <c r="C452" s="1" t="s">
        <v>450</v>
      </c>
      <c r="F452" s="16">
        <v>98521.67</v>
      </c>
      <c r="G452" s="32">
        <v>1527381450.01</v>
      </c>
      <c r="H452" s="3">
        <f t="shared" si="48"/>
        <v>975352.9799999987</v>
      </c>
      <c r="I452" s="4">
        <f t="shared" si="49"/>
        <v>15142649455.716028</v>
      </c>
    </row>
    <row r="453" spans="1:9" ht="15" customHeight="1" x14ac:dyDescent="0.2">
      <c r="A453" s="2">
        <v>45278</v>
      </c>
      <c r="C453" s="1" t="s">
        <v>17</v>
      </c>
      <c r="F453" s="16">
        <v>30</v>
      </c>
      <c r="G453" s="32">
        <v>465090</v>
      </c>
      <c r="H453" s="3">
        <f t="shared" si="46"/>
        <v>975322.9799999987</v>
      </c>
      <c r="I453" s="4">
        <f t="shared" si="47"/>
        <v>15142184365.716028</v>
      </c>
    </row>
    <row r="454" spans="1:9" ht="15" customHeight="1" x14ac:dyDescent="0.2">
      <c r="A454" s="2">
        <v>45278</v>
      </c>
      <c r="B454" s="1"/>
      <c r="C454" s="1" t="s">
        <v>256</v>
      </c>
      <c r="D454" s="17"/>
      <c r="F454" s="16">
        <v>13957.6</v>
      </c>
      <c r="G454" s="32">
        <v>217738560</v>
      </c>
      <c r="H454" s="3">
        <f t="shared" si="46"/>
        <v>961365.37999999872</v>
      </c>
      <c r="I454" s="4">
        <f t="shared" si="47"/>
        <v>14924445805.716028</v>
      </c>
    </row>
    <row r="455" spans="1:9" ht="15" customHeight="1" x14ac:dyDescent="0.2">
      <c r="A455" s="2">
        <v>45278</v>
      </c>
      <c r="B455" s="1"/>
      <c r="C455" s="1" t="s">
        <v>256</v>
      </c>
      <c r="F455" s="16">
        <v>10000</v>
      </c>
      <c r="G455" s="32">
        <v>149294746.94</v>
      </c>
      <c r="H455" s="3">
        <f t="shared" si="46"/>
        <v>951365.37999999872</v>
      </c>
      <c r="I455" s="4">
        <f t="shared" si="47"/>
        <v>14775151058.776028</v>
      </c>
    </row>
    <row r="456" spans="1:9" ht="15" customHeight="1" x14ac:dyDescent="0.2">
      <c r="A456" s="2">
        <v>45280</v>
      </c>
      <c r="C456" s="1" t="s">
        <v>451</v>
      </c>
      <c r="F456" s="71">
        <v>48052.04</v>
      </c>
      <c r="G456" s="32">
        <v>745094932.24000001</v>
      </c>
      <c r="H456" s="3">
        <f t="shared" si="46"/>
        <v>903313.33999999869</v>
      </c>
      <c r="I456" s="4">
        <f t="shared" si="47"/>
        <v>14030056126.536028</v>
      </c>
    </row>
    <row r="457" spans="1:9" ht="15" customHeight="1" x14ac:dyDescent="0.2">
      <c r="A457" s="2">
        <v>45280</v>
      </c>
      <c r="C457" s="1" t="s">
        <v>17</v>
      </c>
      <c r="F457" s="71">
        <v>5</v>
      </c>
      <c r="G457" s="32">
        <v>77530</v>
      </c>
      <c r="H457" s="3">
        <f t="shared" si="46"/>
        <v>903308.33999999869</v>
      </c>
      <c r="I457" s="4">
        <f t="shared" si="47"/>
        <v>14029978596.536028</v>
      </c>
    </row>
    <row r="458" spans="1:9" ht="15" customHeight="1" x14ac:dyDescent="0.2">
      <c r="A458" s="2">
        <v>45280</v>
      </c>
      <c r="B458" s="1"/>
      <c r="C458" s="1" t="s">
        <v>256</v>
      </c>
      <c r="D458" s="17"/>
      <c r="F458" s="71">
        <v>18223.2</v>
      </c>
      <c r="G458" s="32">
        <v>282933403.19999999</v>
      </c>
      <c r="H458" s="3">
        <f t="shared" si="46"/>
        <v>885085.13999999873</v>
      </c>
      <c r="I458" s="4">
        <f t="shared" si="47"/>
        <v>13747045193.336027</v>
      </c>
    </row>
    <row r="459" spans="1:9" ht="15" customHeight="1" x14ac:dyDescent="0.2">
      <c r="A459" s="2">
        <v>45281</v>
      </c>
      <c r="C459" s="1" t="s">
        <v>452</v>
      </c>
      <c r="F459" s="16">
        <v>99840.87</v>
      </c>
      <c r="G459" s="32">
        <v>1548731575.4400001</v>
      </c>
      <c r="H459" s="3">
        <f t="shared" si="46"/>
        <v>785244.26999999874</v>
      </c>
      <c r="I459" s="4">
        <f t="shared" si="47"/>
        <v>12198313617.896027</v>
      </c>
    </row>
    <row r="460" spans="1:9" ht="15" customHeight="1" x14ac:dyDescent="0.2">
      <c r="A460" s="2">
        <v>45281</v>
      </c>
      <c r="C460" s="1" t="s">
        <v>17</v>
      </c>
      <c r="F460" s="16">
        <v>30</v>
      </c>
      <c r="G460" s="32">
        <v>465360</v>
      </c>
      <c r="H460" s="3">
        <f t="shared" si="46"/>
        <v>785214.26999999874</v>
      </c>
      <c r="I460" s="4">
        <f t="shared" si="47"/>
        <v>12197848257.896027</v>
      </c>
    </row>
    <row r="461" spans="1:9" ht="15" customHeight="1" x14ac:dyDescent="0.2">
      <c r="A461" s="2">
        <v>45281</v>
      </c>
      <c r="B461" s="1"/>
      <c r="C461" s="1" t="s">
        <v>256</v>
      </c>
      <c r="F461" s="16">
        <v>30000</v>
      </c>
      <c r="G461" s="32">
        <v>447884240.82999998</v>
      </c>
      <c r="H461" s="3">
        <f t="shared" si="46"/>
        <v>755214.26999999874</v>
      </c>
      <c r="I461" s="4">
        <f t="shared" si="47"/>
        <v>11749964017.066027</v>
      </c>
    </row>
    <row r="462" spans="1:9" ht="15" customHeight="1" x14ac:dyDescent="0.2">
      <c r="A462" s="2">
        <v>45291</v>
      </c>
      <c r="C462" s="1" t="s">
        <v>18</v>
      </c>
      <c r="G462" s="32">
        <f>25280300.73+50285828.8</f>
        <v>75566129.530000001</v>
      </c>
      <c r="H462" s="6">
        <f t="shared" si="46"/>
        <v>755214.26999999874</v>
      </c>
      <c r="I462" s="7">
        <f t="shared" si="47"/>
        <v>11674397887.536026</v>
      </c>
    </row>
    <row r="465" spans="8:9" ht="15" customHeight="1" x14ac:dyDescent="0.2">
      <c r="H465" s="3">
        <f>+H462+UM!H447</f>
        <v>-321737.66000000073</v>
      </c>
      <c r="I465" s="4">
        <f>+I462+UM!I447</f>
        <v>-4513715060.8225422</v>
      </c>
    </row>
    <row r="466" spans="8:9" ht="15" customHeight="1" x14ac:dyDescent="0.2">
      <c r="H466" s="3">
        <f>RINCIAN!J765</f>
        <v>-321737.65999999997</v>
      </c>
      <c r="I466" s="4">
        <f>RINCIAN!K765</f>
        <v>-4663814112.6300001</v>
      </c>
    </row>
    <row r="467" spans="8:9" ht="15" customHeight="1" x14ac:dyDescent="0.2">
      <c r="H467" s="3">
        <f>H465-H466</f>
        <v>-7.5669959187507629E-10</v>
      </c>
      <c r="I467" s="4">
        <f>I465-I466</f>
        <v>150099051.80745792</v>
      </c>
    </row>
  </sheetData>
  <sortState xmlns:xlrd2="http://schemas.microsoft.com/office/spreadsheetml/2017/richdata2" ref="A361:J377">
    <sortCondition ref="A361"/>
  </sortState>
  <mergeCells count="3">
    <mergeCell ref="H5:I5"/>
    <mergeCell ref="F5:G5"/>
    <mergeCell ref="D5:E5"/>
  </mergeCells>
  <printOptions horizontalCentered="1"/>
  <pageMargins left="0.5" right="0.5" top="0.5" bottom="0.5" header="0.5" footer="0.5"/>
  <pageSetup paperSize="9" scale="84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31"/>
  <sheetViews>
    <sheetView topLeftCell="A5" zoomScaleNormal="100" workbookViewId="0">
      <pane ySplit="1" topLeftCell="A225" activePane="bottomLeft" state="frozen"/>
      <selection activeCell="A5" sqref="A5"/>
      <selection pane="bottomLeft" activeCell="D243" sqref="D243"/>
    </sheetView>
  </sheetViews>
  <sheetFormatPr defaultRowHeight="15" customHeight="1" x14ac:dyDescent="0.2"/>
  <cols>
    <col min="1" max="1" width="12.7109375" style="2" customWidth="1"/>
    <col min="2" max="2" width="12.7109375" style="1" hidden="1" customWidth="1"/>
    <col min="3" max="3" width="40.7109375" style="1" customWidth="1"/>
    <col min="4" max="4" width="15.7109375" style="3" customWidth="1"/>
    <col min="5" max="5" width="20.7109375" style="4" customWidth="1"/>
    <col min="6" max="6" width="15.7109375" style="3" customWidth="1"/>
    <col min="7" max="7" width="20.7109375" style="4" customWidth="1"/>
    <col min="8" max="8" width="15.7109375" style="3" customWidth="1"/>
    <col min="9" max="9" width="20.7109375" style="4" customWidth="1"/>
    <col min="10" max="10" width="21.140625" style="1" customWidth="1"/>
    <col min="11" max="11" width="15.5703125" style="3" bestFit="1" customWidth="1"/>
    <col min="12" max="12" width="16" style="4" bestFit="1" customWidth="1"/>
    <col min="13" max="14" width="9.140625" style="1"/>
    <col min="15" max="15" width="11" style="1" bestFit="1" customWidth="1"/>
    <col min="16" max="16384" width="9.140625" style="1"/>
  </cols>
  <sheetData>
    <row r="1" spans="1:16" ht="15" customHeight="1" x14ac:dyDescent="0.2">
      <c r="A1" s="5" t="s">
        <v>0</v>
      </c>
    </row>
    <row r="2" spans="1:16" ht="15" customHeight="1" x14ac:dyDescent="0.2">
      <c r="A2" s="5" t="s">
        <v>10</v>
      </c>
    </row>
    <row r="3" spans="1:16" ht="15" customHeight="1" x14ac:dyDescent="0.2">
      <c r="A3" s="5" t="s">
        <v>2</v>
      </c>
    </row>
    <row r="5" spans="1:16" ht="15" customHeight="1" x14ac:dyDescent="0.2">
      <c r="A5" s="9" t="s">
        <v>3</v>
      </c>
      <c r="B5" s="8" t="s">
        <v>4</v>
      </c>
      <c r="C5" s="8" t="s">
        <v>5</v>
      </c>
      <c r="D5" s="233" t="s">
        <v>6</v>
      </c>
      <c r="E5" s="233"/>
      <c r="F5" s="233" t="s">
        <v>7</v>
      </c>
      <c r="G5" s="233"/>
      <c r="H5" s="233" t="s">
        <v>8</v>
      </c>
      <c r="I5" s="233"/>
    </row>
    <row r="6" spans="1:16" ht="15" customHeight="1" x14ac:dyDescent="0.2">
      <c r="C6" s="1" t="s">
        <v>13</v>
      </c>
      <c r="H6" s="3">
        <v>-423811.9</v>
      </c>
      <c r="I6" s="4">
        <v>-6076262370.1999969</v>
      </c>
      <c r="J6" s="1" t="s">
        <v>22</v>
      </c>
      <c r="K6" s="3">
        <f>106620-95135.48</f>
        <v>11484.520000000004</v>
      </c>
      <c r="L6" s="4">
        <f>1545244726.2-1378799462.99</f>
        <v>166445263.21000004</v>
      </c>
    </row>
    <row r="7" spans="1:16" ht="15" customHeight="1" x14ac:dyDescent="0.2">
      <c r="A7" s="2">
        <v>44566</v>
      </c>
      <c r="C7" s="35" t="s">
        <v>77</v>
      </c>
      <c r="D7" s="36">
        <f>25000</f>
        <v>25000</v>
      </c>
      <c r="E7" s="4">
        <f>356800000</f>
        <v>356800000</v>
      </c>
      <c r="H7" s="3">
        <f>+H6+D7-F7</f>
        <v>-398811.9</v>
      </c>
      <c r="I7" s="4">
        <f>+I6+E7-G7</f>
        <v>-5719462370.1999969</v>
      </c>
      <c r="J7" s="1" t="s">
        <v>23</v>
      </c>
      <c r="K7" s="3">
        <f>231473.8-25000-25000-8000-25000-16400-25000-25000-25000-8000-24536.9-24536.9</f>
        <v>0</v>
      </c>
      <c r="L7" s="4">
        <f>3303020237.6-356800000-356800000-356800000-356800000-234060800-356800000-356800000-356800000-114176000-350190636.8-106992800.8</f>
        <v>0</v>
      </c>
    </row>
    <row r="8" spans="1:16" ht="15" customHeight="1" x14ac:dyDescent="0.2">
      <c r="A8" s="2">
        <v>44572</v>
      </c>
      <c r="C8" s="35" t="s">
        <v>77</v>
      </c>
      <c r="D8" s="36">
        <f>25000</f>
        <v>25000</v>
      </c>
      <c r="E8" s="4">
        <f>356800000</f>
        <v>356800000</v>
      </c>
      <c r="H8" s="3">
        <f t="shared" ref="H8:H72" si="0">+H7+D8-F8</f>
        <v>-373811.9</v>
      </c>
      <c r="I8" s="4">
        <f t="shared" ref="I8:I72" si="1">+I7+E8-G8</f>
        <v>-5362662370.1999969</v>
      </c>
    </row>
    <row r="9" spans="1:16" ht="15" customHeight="1" x14ac:dyDescent="0.2">
      <c r="A9" s="2">
        <v>44581</v>
      </c>
      <c r="C9" s="1" t="s">
        <v>27</v>
      </c>
      <c r="F9" s="15">
        <v>17000</v>
      </c>
      <c r="G9" s="4">
        <v>244290000</v>
      </c>
      <c r="H9" s="3">
        <f t="shared" si="0"/>
        <v>-390811.9</v>
      </c>
      <c r="I9" s="4">
        <f t="shared" si="1"/>
        <v>-5606952370.1999969</v>
      </c>
      <c r="J9" s="1" t="s">
        <v>24</v>
      </c>
      <c r="K9" s="3">
        <f>68424-17420-17420-17420-16164</f>
        <v>0</v>
      </c>
      <c r="L9" s="4">
        <f>979239072-248757600-248757600-249802800-231921072</f>
        <v>0</v>
      </c>
    </row>
    <row r="10" spans="1:16" ht="15" customHeight="1" x14ac:dyDescent="0.2">
      <c r="A10" s="2">
        <v>44581</v>
      </c>
      <c r="C10" s="1" t="s">
        <v>83</v>
      </c>
      <c r="F10" s="41">
        <v>130693.7</v>
      </c>
      <c r="G10" s="4">
        <v>1878068469</v>
      </c>
      <c r="H10" s="3">
        <f t="shared" ref="H10:H11" si="2">+H9+D10-F10</f>
        <v>-521505.60000000003</v>
      </c>
      <c r="I10" s="4">
        <f t="shared" ref="I10:I11" si="3">+I9+E10-G10</f>
        <v>-7485020839.1999969</v>
      </c>
    </row>
    <row r="11" spans="1:16" ht="15" customHeight="1" x14ac:dyDescent="0.2">
      <c r="A11" s="2">
        <v>44581</v>
      </c>
      <c r="C11" s="1" t="s">
        <v>21</v>
      </c>
      <c r="F11" s="41">
        <v>25</v>
      </c>
      <c r="G11" s="4">
        <v>359250</v>
      </c>
      <c r="H11" s="3">
        <f t="shared" si="2"/>
        <v>-521530.60000000003</v>
      </c>
      <c r="I11" s="4">
        <f t="shared" si="3"/>
        <v>-7485380089.1999969</v>
      </c>
      <c r="J11" s="1" t="s">
        <v>25</v>
      </c>
      <c r="K11" s="3">
        <f>17294.1-17294.1</f>
        <v>0</v>
      </c>
      <c r="L11" s="4">
        <f>248758334.4-248758334.4</f>
        <v>0</v>
      </c>
    </row>
    <row r="12" spans="1:16" ht="15" customHeight="1" x14ac:dyDescent="0.2">
      <c r="A12" s="2">
        <v>44582</v>
      </c>
      <c r="C12" s="1" t="s">
        <v>63</v>
      </c>
      <c r="F12" s="3">
        <v>14958</v>
      </c>
      <c r="G12" s="4">
        <v>214707132</v>
      </c>
      <c r="H12" s="3">
        <f t="shared" si="0"/>
        <v>-536488.60000000009</v>
      </c>
      <c r="I12" s="4">
        <f t="shared" si="1"/>
        <v>-7700087221.1999969</v>
      </c>
    </row>
    <row r="13" spans="1:16" ht="15" customHeight="1" x14ac:dyDescent="0.2">
      <c r="A13" s="2">
        <v>44582</v>
      </c>
      <c r="C13" s="1" t="s">
        <v>21</v>
      </c>
      <c r="F13" s="3">
        <v>42</v>
      </c>
      <c r="G13" s="4">
        <v>602868</v>
      </c>
      <c r="H13" s="3">
        <f t="shared" si="0"/>
        <v>-536530.60000000009</v>
      </c>
      <c r="I13" s="4">
        <f t="shared" si="1"/>
        <v>-7700690089.1999969</v>
      </c>
      <c r="K13" s="3">
        <f>SUM(K6:K11)</f>
        <v>11484.520000000004</v>
      </c>
      <c r="L13" s="4">
        <f>SUM(L6:L11)</f>
        <v>166445263.21000004</v>
      </c>
    </row>
    <row r="14" spans="1:16" ht="15" customHeight="1" x14ac:dyDescent="0.2">
      <c r="A14" s="2">
        <v>44588</v>
      </c>
      <c r="C14" s="1" t="s">
        <v>26</v>
      </c>
      <c r="F14" s="3">
        <v>65478</v>
      </c>
      <c r="G14" s="4">
        <v>939347388</v>
      </c>
      <c r="H14" s="3">
        <f t="shared" si="0"/>
        <v>-602008.60000000009</v>
      </c>
      <c r="I14" s="4">
        <f t="shared" si="1"/>
        <v>-8640037477.1999969</v>
      </c>
      <c r="J14" s="3">
        <f>65520-18060-4900-9800</f>
        <v>32760</v>
      </c>
      <c r="K14" s="4">
        <f>939949920-259088760-210886200</f>
        <v>469974960</v>
      </c>
      <c r="M14" s="1" t="s">
        <v>38</v>
      </c>
      <c r="N14" s="1" t="s">
        <v>39</v>
      </c>
      <c r="O14" s="23">
        <v>16380</v>
      </c>
      <c r="P14" s="1" t="s">
        <v>47</v>
      </c>
    </row>
    <row r="15" spans="1:16" ht="15" customHeight="1" x14ac:dyDescent="0.2">
      <c r="A15" s="2">
        <v>44588</v>
      </c>
      <c r="C15" s="1" t="s">
        <v>21</v>
      </c>
      <c r="F15" s="3">
        <v>42</v>
      </c>
      <c r="G15" s="4">
        <v>602532</v>
      </c>
      <c r="H15" s="3">
        <f t="shared" si="0"/>
        <v>-602050.60000000009</v>
      </c>
      <c r="I15" s="4">
        <f t="shared" si="1"/>
        <v>-8640640009.1999969</v>
      </c>
      <c r="O15" s="27">
        <v>16380</v>
      </c>
      <c r="P15" s="1" t="s">
        <v>50</v>
      </c>
    </row>
    <row r="16" spans="1:16" ht="15" customHeight="1" x14ac:dyDescent="0.2">
      <c r="A16" s="2">
        <v>44588</v>
      </c>
      <c r="C16" s="1" t="s">
        <v>26</v>
      </c>
      <c r="F16" s="14">
        <v>61727.11</v>
      </c>
      <c r="G16" s="4">
        <v>885537120.06000006</v>
      </c>
      <c r="H16" s="3">
        <f t="shared" si="0"/>
        <v>-663777.71000000008</v>
      </c>
      <c r="I16" s="4">
        <f t="shared" si="1"/>
        <v>-9526177129.2599964</v>
      </c>
      <c r="O16" s="3">
        <v>4900</v>
      </c>
      <c r="P16" s="1" t="s">
        <v>31</v>
      </c>
    </row>
    <row r="17" spans="1:16" ht="15" customHeight="1" x14ac:dyDescent="0.2">
      <c r="A17" s="2">
        <v>44588</v>
      </c>
      <c r="C17" s="1" t="s">
        <v>21</v>
      </c>
      <c r="F17" s="14">
        <v>42</v>
      </c>
      <c r="G17" s="4">
        <v>602532</v>
      </c>
      <c r="H17" s="3">
        <f t="shared" si="0"/>
        <v>-663819.71000000008</v>
      </c>
      <c r="I17" s="4">
        <f t="shared" si="1"/>
        <v>-9526779661.2599964</v>
      </c>
      <c r="O17" s="21">
        <v>11480</v>
      </c>
      <c r="P17" s="1" t="s">
        <v>34</v>
      </c>
    </row>
    <row r="18" spans="1:16" ht="15" customHeight="1" x14ac:dyDescent="0.2">
      <c r="A18" s="2">
        <v>44589</v>
      </c>
      <c r="C18" s="35" t="s">
        <v>77</v>
      </c>
      <c r="D18" s="36">
        <v>8000</v>
      </c>
      <c r="E18" s="4">
        <v>114176000</v>
      </c>
      <c r="F18" s="14"/>
      <c r="H18" s="3">
        <f t="shared" si="0"/>
        <v>-655819.71000000008</v>
      </c>
      <c r="I18" s="4">
        <f t="shared" si="1"/>
        <v>-9412603661.2599964</v>
      </c>
      <c r="O18" s="21"/>
    </row>
    <row r="19" spans="1:16" ht="15" customHeight="1" x14ac:dyDescent="0.2">
      <c r="A19" s="2">
        <v>44589</v>
      </c>
      <c r="C19" s="1" t="s">
        <v>46</v>
      </c>
      <c r="D19" s="15">
        <v>17000</v>
      </c>
      <c r="E19" s="4">
        <v>244290000</v>
      </c>
      <c r="F19" s="14"/>
      <c r="H19" s="6">
        <f t="shared" si="0"/>
        <v>-638819.71000000008</v>
      </c>
      <c r="I19" s="7">
        <f t="shared" si="1"/>
        <v>-9168313661.2599964</v>
      </c>
      <c r="O19" s="21"/>
    </row>
    <row r="20" spans="1:16" ht="15" customHeight="1" x14ac:dyDescent="0.2">
      <c r="A20" s="2">
        <v>44594</v>
      </c>
      <c r="C20" s="1" t="s">
        <v>30</v>
      </c>
      <c r="D20" s="14">
        <v>79189.11</v>
      </c>
      <c r="E20" s="4">
        <v>1134897252.0599999</v>
      </c>
      <c r="H20" s="3">
        <f t="shared" si="0"/>
        <v>-559630.60000000009</v>
      </c>
      <c r="I20" s="4">
        <f t="shared" si="1"/>
        <v>-8033416409.1999969</v>
      </c>
      <c r="O20" s="3">
        <v>9800</v>
      </c>
      <c r="P20" s="1" t="s">
        <v>31</v>
      </c>
    </row>
    <row r="21" spans="1:16" ht="15" customHeight="1" x14ac:dyDescent="0.35">
      <c r="A21" s="2">
        <v>44601</v>
      </c>
      <c r="C21" s="1" t="s">
        <v>29</v>
      </c>
      <c r="D21" s="3">
        <v>17294.099999999999</v>
      </c>
      <c r="E21" s="4">
        <v>248758334.40000001</v>
      </c>
      <c r="H21" s="3">
        <f t="shared" si="0"/>
        <v>-542336.50000000012</v>
      </c>
      <c r="I21" s="4">
        <f t="shared" si="1"/>
        <v>-7784658074.7999973</v>
      </c>
      <c r="O21" s="22">
        <v>6580</v>
      </c>
      <c r="P21" s="1" t="s">
        <v>34</v>
      </c>
    </row>
    <row r="22" spans="1:16" ht="15" customHeight="1" x14ac:dyDescent="0.2">
      <c r="A22" s="37">
        <v>44607</v>
      </c>
      <c r="B22" s="35"/>
      <c r="C22" s="35" t="s">
        <v>77</v>
      </c>
      <c r="D22" s="36">
        <v>25000</v>
      </c>
      <c r="E22" s="4">
        <v>356800000</v>
      </c>
      <c r="H22" s="3">
        <f t="shared" si="0"/>
        <v>-517336.50000000012</v>
      </c>
      <c r="I22" s="4">
        <f t="shared" si="1"/>
        <v>-7427858074.7999973</v>
      </c>
      <c r="O22" s="19">
        <f>SUM(O14:O21)</f>
        <v>65520</v>
      </c>
    </row>
    <row r="23" spans="1:16" ht="15" customHeight="1" x14ac:dyDescent="0.2">
      <c r="A23" s="2">
        <v>44608</v>
      </c>
      <c r="C23" s="1" t="s">
        <v>30</v>
      </c>
      <c r="D23" s="3">
        <v>17420</v>
      </c>
      <c r="E23" s="4">
        <v>248757600</v>
      </c>
      <c r="H23" s="3">
        <f t="shared" si="0"/>
        <v>-499916.50000000012</v>
      </c>
      <c r="I23" s="4">
        <f t="shared" si="1"/>
        <v>-7179100474.7999973</v>
      </c>
    </row>
    <row r="24" spans="1:16" ht="15" customHeight="1" x14ac:dyDescent="0.2">
      <c r="A24" s="2">
        <v>44608</v>
      </c>
      <c r="C24" s="1" t="s">
        <v>19</v>
      </c>
      <c r="F24" s="16">
        <v>8575.49</v>
      </c>
      <c r="G24" s="4">
        <v>122560903.08</v>
      </c>
      <c r="H24" s="3">
        <f t="shared" si="0"/>
        <v>-508491.99000000011</v>
      </c>
      <c r="I24" s="4">
        <f t="shared" si="1"/>
        <v>-7301661377.8799973</v>
      </c>
      <c r="M24" s="1" t="s">
        <v>44</v>
      </c>
      <c r="N24" s="1" t="s">
        <v>27</v>
      </c>
      <c r="O24" s="3">
        <v>17000</v>
      </c>
    </row>
    <row r="25" spans="1:16" ht="15" customHeight="1" x14ac:dyDescent="0.2">
      <c r="A25" s="2">
        <v>44609</v>
      </c>
      <c r="C25" s="1" t="s">
        <v>26</v>
      </c>
      <c r="F25" s="18">
        <v>67914.37</v>
      </c>
      <c r="G25" s="4">
        <v>969681374.86000001</v>
      </c>
      <c r="H25" s="3">
        <f t="shared" si="0"/>
        <v>-576406.3600000001</v>
      </c>
      <c r="I25" s="4">
        <f t="shared" si="1"/>
        <v>-8271342752.7399969</v>
      </c>
      <c r="O25" s="3">
        <v>30000</v>
      </c>
    </row>
    <row r="26" spans="1:16" ht="15" customHeight="1" x14ac:dyDescent="0.2">
      <c r="A26" s="2">
        <v>44609</v>
      </c>
      <c r="C26" s="1" t="s">
        <v>21</v>
      </c>
      <c r="F26" s="18">
        <v>42</v>
      </c>
      <c r="G26" s="4">
        <v>599676</v>
      </c>
      <c r="H26" s="3">
        <f t="shared" si="0"/>
        <v>-576448.3600000001</v>
      </c>
      <c r="I26" s="4">
        <f t="shared" si="1"/>
        <v>-8271942428.7399969</v>
      </c>
      <c r="O26" s="3">
        <v>30000</v>
      </c>
    </row>
    <row r="27" spans="1:16" ht="15" customHeight="1" x14ac:dyDescent="0.2">
      <c r="A27" s="2">
        <v>44614</v>
      </c>
      <c r="C27" s="35" t="s">
        <v>78</v>
      </c>
      <c r="D27" s="36">
        <v>16400</v>
      </c>
      <c r="E27" s="38">
        <v>234060800</v>
      </c>
      <c r="H27" s="3">
        <f t="shared" si="0"/>
        <v>-560048.3600000001</v>
      </c>
      <c r="I27" s="4">
        <f t="shared" si="1"/>
        <v>-8037881628.7399969</v>
      </c>
      <c r="O27" s="3">
        <v>30000</v>
      </c>
    </row>
    <row r="28" spans="1:16" ht="15" customHeight="1" x14ac:dyDescent="0.2">
      <c r="A28" s="2">
        <v>44616</v>
      </c>
      <c r="C28" s="1" t="s">
        <v>69</v>
      </c>
      <c r="F28" s="33">
        <v>66338</v>
      </c>
      <c r="G28" s="4">
        <v>952282653.38</v>
      </c>
      <c r="H28" s="3">
        <f t="shared" si="0"/>
        <v>-626386.3600000001</v>
      </c>
      <c r="I28" s="4">
        <f t="shared" si="1"/>
        <v>-8990164282.119997</v>
      </c>
    </row>
    <row r="29" spans="1:16" ht="15" customHeight="1" x14ac:dyDescent="0.2">
      <c r="A29" s="2">
        <v>44616</v>
      </c>
      <c r="C29" s="1" t="s">
        <v>21</v>
      </c>
      <c r="F29" s="33">
        <v>30</v>
      </c>
      <c r="G29" s="4">
        <v>430650.3</v>
      </c>
      <c r="H29" s="3">
        <f t="shared" si="0"/>
        <v>-626416.3600000001</v>
      </c>
      <c r="I29" s="4">
        <f t="shared" si="1"/>
        <v>-8990594932.4199963</v>
      </c>
    </row>
    <row r="30" spans="1:16" ht="15" customHeight="1" x14ac:dyDescent="0.2">
      <c r="A30" s="37">
        <v>44618</v>
      </c>
      <c r="B30" s="35"/>
      <c r="C30" s="35" t="s">
        <v>77</v>
      </c>
      <c r="D30" s="36">
        <v>25000</v>
      </c>
      <c r="E30" s="4">
        <v>356800000</v>
      </c>
      <c r="H30" s="3">
        <f t="shared" si="0"/>
        <v>-601416.3600000001</v>
      </c>
      <c r="I30" s="4">
        <f t="shared" si="1"/>
        <v>-8633794932.4199963</v>
      </c>
    </row>
    <row r="31" spans="1:16" ht="15" customHeight="1" x14ac:dyDescent="0.2">
      <c r="A31" s="2">
        <v>44620</v>
      </c>
      <c r="C31" s="1" t="s">
        <v>26</v>
      </c>
      <c r="F31" s="16">
        <v>59102.26</v>
      </c>
      <c r="G31" s="4">
        <v>849359169.48000002</v>
      </c>
      <c r="H31" s="3">
        <f t="shared" si="0"/>
        <v>-660518.62000000011</v>
      </c>
      <c r="I31" s="4">
        <f t="shared" si="1"/>
        <v>-9483154101.8999958</v>
      </c>
    </row>
    <row r="32" spans="1:16" ht="15" customHeight="1" x14ac:dyDescent="0.2">
      <c r="A32" s="2">
        <v>44620</v>
      </c>
      <c r="C32" s="1" t="s">
        <v>21</v>
      </c>
      <c r="F32" s="16">
        <v>42</v>
      </c>
      <c r="G32" s="4">
        <v>603582.42000000004</v>
      </c>
      <c r="H32" s="6">
        <f t="shared" si="0"/>
        <v>-660560.62000000011</v>
      </c>
      <c r="I32" s="7">
        <f t="shared" si="1"/>
        <v>-9483757684.3199959</v>
      </c>
    </row>
    <row r="33" spans="1:12" ht="15" customHeight="1" x14ac:dyDescent="0.2">
      <c r="A33" s="2">
        <v>44622</v>
      </c>
      <c r="C33" s="1" t="s">
        <v>30</v>
      </c>
      <c r="D33" s="18">
        <f>17420+67956.37</f>
        <v>85376.37</v>
      </c>
      <c r="E33" s="4">
        <v>1220083850.8599999</v>
      </c>
      <c r="H33" s="3">
        <f t="shared" si="0"/>
        <v>-575184.25000000012</v>
      </c>
      <c r="I33" s="4">
        <f t="shared" si="1"/>
        <v>-8263673833.4599962</v>
      </c>
    </row>
    <row r="34" spans="1:12" ht="15" customHeight="1" x14ac:dyDescent="0.2">
      <c r="A34" s="2">
        <v>44622</v>
      </c>
      <c r="C34" s="1" t="s">
        <v>30</v>
      </c>
      <c r="D34" s="20">
        <v>82419.75</v>
      </c>
      <c r="E34" s="4">
        <f>972523654.98+210886200</f>
        <v>1183409854.98</v>
      </c>
      <c r="H34" s="3">
        <f t="shared" si="0"/>
        <v>-492764.50000000012</v>
      </c>
      <c r="I34" s="4">
        <f t="shared" si="1"/>
        <v>-7080263978.4799957</v>
      </c>
    </row>
    <row r="35" spans="1:12" ht="15" customHeight="1" x14ac:dyDescent="0.2">
      <c r="A35" s="2">
        <v>44625</v>
      </c>
      <c r="C35" s="1" t="s">
        <v>127</v>
      </c>
      <c r="F35" s="3">
        <v>66338</v>
      </c>
      <c r="G35" s="4">
        <v>953476737.38</v>
      </c>
      <c r="H35" s="3">
        <f t="shared" si="0"/>
        <v>-559102.50000000012</v>
      </c>
      <c r="I35" s="4">
        <f t="shared" si="1"/>
        <v>-8033740715.8599958</v>
      </c>
      <c r="J35" s="1" t="s">
        <v>68</v>
      </c>
      <c r="K35" s="3">
        <f>66338+30-13408</f>
        <v>52960</v>
      </c>
      <c r="L35" s="4">
        <f>953476737.38+431190.3-192713318.08</f>
        <v>761194609.5999999</v>
      </c>
    </row>
    <row r="36" spans="1:12" ht="15" customHeight="1" x14ac:dyDescent="0.2">
      <c r="A36" s="2">
        <v>44625</v>
      </c>
      <c r="C36" s="1" t="s">
        <v>21</v>
      </c>
      <c r="F36" s="3">
        <v>30</v>
      </c>
      <c r="G36" s="4">
        <v>431190.3</v>
      </c>
      <c r="H36" s="3">
        <f t="shared" si="0"/>
        <v>-559132.50000000012</v>
      </c>
      <c r="I36" s="4">
        <f t="shared" si="1"/>
        <v>-8034171906.159996</v>
      </c>
    </row>
    <row r="37" spans="1:12" ht="15" customHeight="1" x14ac:dyDescent="0.2">
      <c r="A37" s="2">
        <v>44628</v>
      </c>
      <c r="C37" s="1" t="s">
        <v>28</v>
      </c>
      <c r="F37" s="30">
        <v>114958</v>
      </c>
      <c r="G37" s="4">
        <v>1656660887.5799999</v>
      </c>
      <c r="H37" s="3">
        <f t="shared" si="0"/>
        <v>-674090.50000000012</v>
      </c>
      <c r="I37" s="4">
        <f t="shared" si="1"/>
        <v>-9690832793.739996</v>
      </c>
    </row>
    <row r="38" spans="1:12" ht="15" customHeight="1" x14ac:dyDescent="0.2">
      <c r="A38" s="2">
        <v>44628</v>
      </c>
      <c r="C38" s="1" t="s">
        <v>21</v>
      </c>
      <c r="F38" s="30">
        <v>42</v>
      </c>
      <c r="G38" s="4">
        <v>605262.42000000004</v>
      </c>
      <c r="H38" s="3">
        <f t="shared" si="0"/>
        <v>-674132.50000000012</v>
      </c>
      <c r="I38" s="4">
        <f t="shared" si="1"/>
        <v>-9691438056.159996</v>
      </c>
    </row>
    <row r="39" spans="1:12" ht="15" customHeight="1" x14ac:dyDescent="0.2">
      <c r="A39" s="2">
        <v>44629</v>
      </c>
      <c r="C39" s="1" t="s">
        <v>36</v>
      </c>
      <c r="D39" s="21">
        <v>18060</v>
      </c>
      <c r="E39" s="4">
        <v>259088760</v>
      </c>
      <c r="H39" s="3">
        <f t="shared" si="0"/>
        <v>-656072.50000000012</v>
      </c>
      <c r="I39" s="4">
        <f t="shared" si="1"/>
        <v>-9432349296.159996</v>
      </c>
    </row>
    <row r="40" spans="1:12" ht="15" customHeight="1" x14ac:dyDescent="0.2">
      <c r="A40" s="2">
        <v>44629</v>
      </c>
      <c r="C40" s="1" t="s">
        <v>26</v>
      </c>
      <c r="F40" s="27">
        <v>5694.63</v>
      </c>
      <c r="G40" s="4">
        <v>81968504.219999999</v>
      </c>
      <c r="H40" s="3">
        <f t="shared" si="0"/>
        <v>-661767.13000000012</v>
      </c>
      <c r="I40" s="4">
        <f t="shared" si="1"/>
        <v>-9514317800.3799953</v>
      </c>
    </row>
    <row r="41" spans="1:12" ht="15" customHeight="1" x14ac:dyDescent="0.2">
      <c r="A41" s="2">
        <v>44630</v>
      </c>
      <c r="C41" s="1" t="s">
        <v>35</v>
      </c>
      <c r="F41" s="3">
        <v>267993</v>
      </c>
      <c r="G41" s="4">
        <v>3851330082.9299998</v>
      </c>
      <c r="H41" s="3">
        <f t="shared" si="0"/>
        <v>-929760.13000000012</v>
      </c>
      <c r="I41" s="4">
        <f t="shared" si="1"/>
        <v>-13365647883.309996</v>
      </c>
    </row>
    <row r="42" spans="1:12" ht="15" customHeight="1" x14ac:dyDescent="0.2">
      <c r="A42" s="2">
        <v>44630</v>
      </c>
      <c r="C42" s="1" t="s">
        <v>21</v>
      </c>
      <c r="F42" s="3">
        <v>57</v>
      </c>
      <c r="G42" s="4">
        <v>819147.57000000007</v>
      </c>
      <c r="H42" s="3">
        <f t="shared" si="0"/>
        <v>-929817.13000000012</v>
      </c>
      <c r="I42" s="4">
        <f t="shared" si="1"/>
        <v>-13366467030.879995</v>
      </c>
    </row>
    <row r="43" spans="1:12" ht="15" customHeight="1" x14ac:dyDescent="0.2">
      <c r="A43" s="2">
        <v>44637</v>
      </c>
      <c r="C43" s="1" t="s">
        <v>26</v>
      </c>
      <c r="F43" s="26">
        <v>75161.990000000005</v>
      </c>
      <c r="G43" s="4">
        <v>1075643990.51</v>
      </c>
      <c r="H43" s="3">
        <f t="shared" si="0"/>
        <v>-1004979.1200000001</v>
      </c>
      <c r="I43" s="4">
        <f t="shared" si="1"/>
        <v>-14442111021.389996</v>
      </c>
    </row>
    <row r="44" spans="1:12" ht="15" customHeight="1" x14ac:dyDescent="0.2">
      <c r="A44" s="2">
        <v>44637</v>
      </c>
      <c r="C44" s="1" t="s">
        <v>21</v>
      </c>
      <c r="F44" s="26">
        <v>42</v>
      </c>
      <c r="G44" s="4">
        <v>601062.42000000004</v>
      </c>
      <c r="H44" s="3">
        <f t="shared" si="0"/>
        <v>-1005021.1200000001</v>
      </c>
      <c r="I44" s="4">
        <f t="shared" si="1"/>
        <v>-14442712083.809996</v>
      </c>
    </row>
    <row r="45" spans="1:12" ht="15" customHeight="1" x14ac:dyDescent="0.2">
      <c r="A45" s="2">
        <v>44643</v>
      </c>
      <c r="C45" s="1" t="s">
        <v>26</v>
      </c>
      <c r="F45" s="27">
        <v>59108.46</v>
      </c>
      <c r="G45" s="4">
        <v>848679268.67999995</v>
      </c>
      <c r="H45" s="3">
        <f t="shared" si="0"/>
        <v>-1064129.58</v>
      </c>
      <c r="I45" s="4">
        <f t="shared" si="1"/>
        <v>-15291391352.489996</v>
      </c>
    </row>
    <row r="46" spans="1:12" ht="15" customHeight="1" x14ac:dyDescent="0.2">
      <c r="A46" s="2">
        <v>44643</v>
      </c>
      <c r="C46" s="1" t="s">
        <v>21</v>
      </c>
      <c r="F46" s="27">
        <v>42</v>
      </c>
      <c r="G46" s="4">
        <v>603036</v>
      </c>
      <c r="H46" s="3">
        <f t="shared" si="0"/>
        <v>-1064171.58</v>
      </c>
      <c r="I46" s="4">
        <f t="shared" si="1"/>
        <v>-15291994388.489996</v>
      </c>
    </row>
    <row r="47" spans="1:12" ht="15" customHeight="1" x14ac:dyDescent="0.2">
      <c r="A47" s="2">
        <v>44644</v>
      </c>
      <c r="C47" s="1" t="s">
        <v>26</v>
      </c>
      <c r="F47" s="27">
        <v>9963</v>
      </c>
      <c r="G47" s="4">
        <v>142979112.63</v>
      </c>
      <c r="H47" s="3">
        <f t="shared" si="0"/>
        <v>-1074134.58</v>
      </c>
      <c r="I47" s="4">
        <f t="shared" si="1"/>
        <v>-15434973501.119995</v>
      </c>
    </row>
    <row r="48" spans="1:12" ht="15" customHeight="1" x14ac:dyDescent="0.2">
      <c r="A48" s="2">
        <v>44644</v>
      </c>
      <c r="C48" s="1" t="s">
        <v>21</v>
      </c>
      <c r="F48" s="27">
        <v>37</v>
      </c>
      <c r="G48" s="4">
        <v>530987.37</v>
      </c>
      <c r="H48" s="3">
        <f t="shared" si="0"/>
        <v>-1074171.58</v>
      </c>
      <c r="I48" s="4">
        <f t="shared" si="1"/>
        <v>-15435504488.489996</v>
      </c>
    </row>
    <row r="49" spans="1:9" ht="15" customHeight="1" x14ac:dyDescent="0.2">
      <c r="A49" s="2">
        <v>44645</v>
      </c>
      <c r="C49" s="1" t="s">
        <v>26</v>
      </c>
      <c r="F49" s="26">
        <v>71033.94</v>
      </c>
      <c r="G49" s="4">
        <v>1020119122.6799999</v>
      </c>
      <c r="H49" s="3">
        <f t="shared" si="0"/>
        <v>-1145205.52</v>
      </c>
      <c r="I49" s="4">
        <f t="shared" si="1"/>
        <v>-16455623611.169996</v>
      </c>
    </row>
    <row r="50" spans="1:9" ht="15" customHeight="1" x14ac:dyDescent="0.2">
      <c r="A50" s="2">
        <v>44645</v>
      </c>
      <c r="C50" s="1" t="s">
        <v>21</v>
      </c>
      <c r="F50" s="26">
        <v>42</v>
      </c>
      <c r="G50" s="4">
        <v>603162.42000000004</v>
      </c>
      <c r="H50" s="3">
        <f t="shared" si="0"/>
        <v>-1145247.52</v>
      </c>
      <c r="I50" s="4">
        <f t="shared" si="1"/>
        <v>-16456226773.589996</v>
      </c>
    </row>
    <row r="51" spans="1:9" ht="15" customHeight="1" x14ac:dyDescent="0.2">
      <c r="A51" s="2">
        <v>44649</v>
      </c>
      <c r="C51" s="1" t="s">
        <v>37</v>
      </c>
      <c r="F51" s="14">
        <v>450654.48</v>
      </c>
      <c r="G51" s="4">
        <v>6471398332.8000002</v>
      </c>
      <c r="H51" s="3">
        <f t="shared" si="0"/>
        <v>-1595902</v>
      </c>
      <c r="I51" s="4">
        <f t="shared" si="1"/>
        <v>-22927625106.389996</v>
      </c>
    </row>
    <row r="52" spans="1:9" ht="15" customHeight="1" x14ac:dyDescent="0.2">
      <c r="A52" s="2">
        <v>44649</v>
      </c>
      <c r="C52" s="1" t="s">
        <v>21</v>
      </c>
      <c r="F52" s="14">
        <v>20</v>
      </c>
      <c r="G52" s="4">
        <v>287200</v>
      </c>
      <c r="H52" s="3">
        <f t="shared" si="0"/>
        <v>-1595922</v>
      </c>
      <c r="I52" s="4">
        <f t="shared" si="1"/>
        <v>-22927912306.389996</v>
      </c>
    </row>
    <row r="53" spans="1:9" ht="15" customHeight="1" x14ac:dyDescent="0.2">
      <c r="A53" s="2">
        <v>44651</v>
      </c>
      <c r="C53" s="1" t="s">
        <v>27</v>
      </c>
      <c r="F53" s="29">
        <v>17609</v>
      </c>
      <c r="G53" s="4">
        <v>252671717.09</v>
      </c>
      <c r="H53" s="3">
        <f t="shared" si="0"/>
        <v>-1613531</v>
      </c>
      <c r="I53" s="4">
        <f t="shared" si="1"/>
        <v>-23180584023.479996</v>
      </c>
    </row>
    <row r="54" spans="1:9" ht="15" customHeight="1" x14ac:dyDescent="0.2">
      <c r="A54" s="2">
        <v>44651</v>
      </c>
      <c r="C54" s="1" t="s">
        <v>21</v>
      </c>
      <c r="F54" s="29">
        <v>15</v>
      </c>
      <c r="G54" s="4">
        <v>215235.15</v>
      </c>
      <c r="H54" s="3">
        <f t="shared" si="0"/>
        <v>-1613546</v>
      </c>
      <c r="I54" s="4">
        <f t="shared" si="1"/>
        <v>-23180799258.629997</v>
      </c>
    </row>
    <row r="55" spans="1:9" ht="15" customHeight="1" x14ac:dyDescent="0.2">
      <c r="A55" s="2">
        <v>44651</v>
      </c>
      <c r="C55" s="1" t="s">
        <v>67</v>
      </c>
      <c r="F55" s="34">
        <v>17609</v>
      </c>
      <c r="G55" s="4">
        <v>252671717.09</v>
      </c>
      <c r="H55" s="3">
        <f t="shared" si="0"/>
        <v>-1631155</v>
      </c>
      <c r="I55" s="4">
        <f t="shared" si="1"/>
        <v>-23433470975.719997</v>
      </c>
    </row>
    <row r="56" spans="1:9" ht="15" customHeight="1" x14ac:dyDescent="0.2">
      <c r="A56" s="2">
        <v>44651</v>
      </c>
      <c r="C56" s="1" t="s">
        <v>21</v>
      </c>
      <c r="F56" s="34">
        <v>15</v>
      </c>
      <c r="G56" s="4">
        <v>215235.15</v>
      </c>
      <c r="H56" s="6">
        <f t="shared" si="0"/>
        <v>-1631170</v>
      </c>
      <c r="I56" s="7">
        <f t="shared" si="1"/>
        <v>-23433686210.869999</v>
      </c>
    </row>
    <row r="57" spans="1:9" ht="15" customHeight="1" x14ac:dyDescent="0.2">
      <c r="A57" s="2">
        <v>44657</v>
      </c>
      <c r="C57" s="1" t="s">
        <v>49</v>
      </c>
      <c r="D57" s="26">
        <f>16164+71033.94+42</f>
        <v>87239.94</v>
      </c>
      <c r="E57" s="4">
        <f>231921072+1020119122.68+603162.42</f>
        <v>1252643357.0999999</v>
      </c>
      <c r="H57" s="3">
        <f t="shared" si="0"/>
        <v>-1543930.06</v>
      </c>
      <c r="I57" s="4">
        <f t="shared" si="1"/>
        <v>-22181042853.77</v>
      </c>
    </row>
    <row r="58" spans="1:9" ht="15" customHeight="1" x14ac:dyDescent="0.2">
      <c r="A58" s="2">
        <v>44657</v>
      </c>
      <c r="C58" s="1" t="s">
        <v>30</v>
      </c>
      <c r="D58" s="27">
        <v>91225.09</v>
      </c>
      <c r="E58" s="4">
        <v>1309748388.9000001</v>
      </c>
      <c r="H58" s="3">
        <f t="shared" si="0"/>
        <v>-1452704.97</v>
      </c>
      <c r="I58" s="4">
        <f t="shared" si="1"/>
        <v>-20871294464.869999</v>
      </c>
    </row>
    <row r="59" spans="1:9" ht="15" customHeight="1" x14ac:dyDescent="0.2">
      <c r="A59" s="2">
        <v>44658</v>
      </c>
      <c r="C59" s="1" t="s">
        <v>48</v>
      </c>
      <c r="D59" s="26">
        <f>16380+75161.99+42</f>
        <v>91583.99</v>
      </c>
      <c r="E59" s="4">
        <f>234987480+1075643990.51+601062.42</f>
        <v>1311232532.9300001</v>
      </c>
      <c r="H59" s="3">
        <f t="shared" si="0"/>
        <v>-1361120.98</v>
      </c>
      <c r="I59" s="4">
        <f t="shared" si="1"/>
        <v>-19560061931.939999</v>
      </c>
    </row>
    <row r="60" spans="1:9" ht="15" customHeight="1" x14ac:dyDescent="0.2">
      <c r="A60" s="37">
        <v>44658</v>
      </c>
      <c r="B60" s="35"/>
      <c r="C60" s="35" t="s">
        <v>77</v>
      </c>
      <c r="D60" s="36">
        <v>25000</v>
      </c>
      <c r="E60" s="4">
        <v>356800000</v>
      </c>
      <c r="H60" s="3">
        <f t="shared" si="0"/>
        <v>-1336120.98</v>
      </c>
      <c r="I60" s="4">
        <f t="shared" si="1"/>
        <v>-19203261931.939999</v>
      </c>
    </row>
    <row r="61" spans="1:9" ht="15" customHeight="1" x14ac:dyDescent="0.2">
      <c r="A61" s="2">
        <v>44664</v>
      </c>
      <c r="C61" s="1" t="s">
        <v>62</v>
      </c>
      <c r="D61" s="14">
        <v>450674.48</v>
      </c>
      <c r="E61" s="4">
        <v>6471685532.8000002</v>
      </c>
      <c r="H61" s="3">
        <f t="shared" si="0"/>
        <v>-885446.5</v>
      </c>
      <c r="I61" s="4">
        <f t="shared" si="1"/>
        <v>-12731576399.139999</v>
      </c>
    </row>
    <row r="62" spans="1:9" ht="15" customHeight="1" x14ac:dyDescent="0.2">
      <c r="A62" s="2">
        <v>44665</v>
      </c>
      <c r="C62" s="1" t="s">
        <v>26</v>
      </c>
      <c r="F62" s="29">
        <v>55890</v>
      </c>
      <c r="G62" s="4">
        <v>802525068.89999998</v>
      </c>
      <c r="H62" s="3">
        <f t="shared" si="0"/>
        <v>-941336.5</v>
      </c>
      <c r="I62" s="4">
        <f t="shared" si="1"/>
        <v>-13534101468.039999</v>
      </c>
    </row>
    <row r="63" spans="1:9" ht="15" customHeight="1" x14ac:dyDescent="0.2">
      <c r="A63" s="2">
        <v>44665</v>
      </c>
      <c r="C63" s="1" t="s">
        <v>21</v>
      </c>
      <c r="F63" s="29">
        <v>42</v>
      </c>
      <c r="G63" s="4">
        <v>603078.42000000004</v>
      </c>
      <c r="H63" s="3">
        <f t="shared" si="0"/>
        <v>-941378.5</v>
      </c>
      <c r="I63" s="4">
        <f t="shared" si="1"/>
        <v>-13534704546.459999</v>
      </c>
    </row>
    <row r="64" spans="1:9" ht="15" customHeight="1" x14ac:dyDescent="0.2">
      <c r="A64" s="2">
        <v>44665</v>
      </c>
      <c r="C64" s="1" t="s">
        <v>60</v>
      </c>
      <c r="D64" s="3">
        <v>95135.48</v>
      </c>
      <c r="E64" s="4">
        <v>1378799462.99</v>
      </c>
      <c r="F64" s="29"/>
      <c r="H64" s="3">
        <f t="shared" si="0"/>
        <v>-846243.02</v>
      </c>
      <c r="I64" s="4">
        <f t="shared" si="1"/>
        <v>-12155905083.469999</v>
      </c>
    </row>
    <row r="65" spans="1:9" ht="15" customHeight="1" x14ac:dyDescent="0.2">
      <c r="A65" s="2">
        <v>44666</v>
      </c>
      <c r="C65" s="1" t="s">
        <v>26</v>
      </c>
      <c r="F65" s="28">
        <v>37246</v>
      </c>
      <c r="G65" s="4">
        <v>534815686.45999998</v>
      </c>
      <c r="H65" s="3">
        <f t="shared" si="0"/>
        <v>-883489.02</v>
      </c>
      <c r="I65" s="4">
        <f t="shared" si="1"/>
        <v>-12690720769.929998</v>
      </c>
    </row>
    <row r="66" spans="1:9" ht="15" customHeight="1" x14ac:dyDescent="0.2">
      <c r="A66" s="2">
        <v>44666</v>
      </c>
      <c r="C66" s="1" t="s">
        <v>21</v>
      </c>
      <c r="F66" s="28">
        <v>42</v>
      </c>
      <c r="G66" s="4">
        <v>603078.42000000004</v>
      </c>
      <c r="H66" s="3">
        <f t="shared" si="0"/>
        <v>-883531.02</v>
      </c>
      <c r="I66" s="4">
        <f t="shared" si="1"/>
        <v>-12691323848.349998</v>
      </c>
    </row>
    <row r="67" spans="1:9" ht="15" customHeight="1" x14ac:dyDescent="0.2">
      <c r="A67" s="2">
        <v>44671</v>
      </c>
      <c r="C67" s="1" t="s">
        <v>70</v>
      </c>
      <c r="D67" s="33">
        <v>49776</v>
      </c>
      <c r="E67" s="4">
        <v>714534977.75999999</v>
      </c>
      <c r="H67" s="3">
        <f t="shared" si="0"/>
        <v>-833755.02</v>
      </c>
      <c r="I67" s="4">
        <f t="shared" si="1"/>
        <v>-11976788870.589998</v>
      </c>
    </row>
    <row r="68" spans="1:9" ht="15" customHeight="1" x14ac:dyDescent="0.2">
      <c r="A68" s="2">
        <v>44672</v>
      </c>
      <c r="C68" s="1" t="s">
        <v>26</v>
      </c>
      <c r="F68" s="3">
        <v>37246</v>
      </c>
      <c r="G68" s="4">
        <v>534517718.45999998</v>
      </c>
      <c r="H68" s="3">
        <f t="shared" si="0"/>
        <v>-871001.02</v>
      </c>
      <c r="I68" s="4">
        <f t="shared" si="1"/>
        <v>-12511306589.049997</v>
      </c>
    </row>
    <row r="69" spans="1:9" ht="15" customHeight="1" x14ac:dyDescent="0.2">
      <c r="A69" s="2">
        <v>44672</v>
      </c>
      <c r="C69" s="1" t="s">
        <v>21</v>
      </c>
      <c r="F69" s="3">
        <v>42</v>
      </c>
      <c r="G69" s="4">
        <v>602742.42000000004</v>
      </c>
      <c r="H69" s="3">
        <f t="shared" si="0"/>
        <v>-871043.02</v>
      </c>
      <c r="I69" s="4">
        <f t="shared" si="1"/>
        <v>-12511909331.469997</v>
      </c>
    </row>
    <row r="70" spans="1:9" ht="15" customHeight="1" x14ac:dyDescent="0.2">
      <c r="A70" s="2">
        <v>44676</v>
      </c>
      <c r="C70" s="1" t="s">
        <v>61</v>
      </c>
      <c r="D70" s="30">
        <f>115000+5000</f>
        <v>120000</v>
      </c>
      <c r="E70" s="4">
        <f>1657266150+71770000</f>
        <v>1729036150</v>
      </c>
      <c r="H70" s="3">
        <f t="shared" si="0"/>
        <v>-751043.02</v>
      </c>
      <c r="I70" s="4">
        <f t="shared" si="1"/>
        <v>-10782873181.469997</v>
      </c>
    </row>
    <row r="71" spans="1:9" ht="15" customHeight="1" x14ac:dyDescent="0.2">
      <c r="A71" s="2">
        <v>44680</v>
      </c>
      <c r="C71" s="1" t="s">
        <v>26</v>
      </c>
      <c r="F71" s="16">
        <v>19710</v>
      </c>
      <c r="G71" s="4">
        <v>284178780</v>
      </c>
      <c r="H71" s="3">
        <f t="shared" si="0"/>
        <v>-770753.02</v>
      </c>
      <c r="I71" s="4">
        <f t="shared" si="1"/>
        <v>-11067051961.469997</v>
      </c>
    </row>
    <row r="72" spans="1:9" ht="15" customHeight="1" x14ac:dyDescent="0.2">
      <c r="A72" s="2">
        <v>44680</v>
      </c>
      <c r="C72" s="1" t="s">
        <v>21</v>
      </c>
      <c r="F72" s="16">
        <v>42</v>
      </c>
      <c r="G72" s="4">
        <v>605556</v>
      </c>
      <c r="H72" s="6">
        <f t="shared" si="0"/>
        <v>-770795.02</v>
      </c>
      <c r="I72" s="7">
        <f t="shared" si="1"/>
        <v>-11067657517.469997</v>
      </c>
    </row>
    <row r="73" spans="1:9" ht="15" customHeight="1" x14ac:dyDescent="0.2">
      <c r="A73" s="2">
        <v>44686</v>
      </c>
      <c r="C73" s="1" t="s">
        <v>26</v>
      </c>
      <c r="F73" s="16">
        <v>19710</v>
      </c>
      <c r="G73" s="4">
        <v>284178780</v>
      </c>
      <c r="H73" s="3">
        <f t="shared" ref="H73:H137" si="4">+H72+D73-F73</f>
        <v>-790505.02</v>
      </c>
      <c r="I73" s="4">
        <f t="shared" ref="I73:I137" si="5">+I72+E73-G73</f>
        <v>-11351836297.469997</v>
      </c>
    </row>
    <row r="74" spans="1:9" ht="15" customHeight="1" x14ac:dyDescent="0.2">
      <c r="A74" s="2">
        <v>44686</v>
      </c>
      <c r="C74" s="1" t="s">
        <v>21</v>
      </c>
      <c r="F74" s="16">
        <v>42</v>
      </c>
      <c r="G74" s="4">
        <v>605556</v>
      </c>
      <c r="H74" s="3">
        <f t="shared" si="4"/>
        <v>-790547.02</v>
      </c>
      <c r="I74" s="4">
        <f t="shared" si="5"/>
        <v>-11352441853.469997</v>
      </c>
    </row>
    <row r="75" spans="1:9" ht="15" customHeight="1" x14ac:dyDescent="0.2">
      <c r="A75" s="2">
        <v>44686</v>
      </c>
      <c r="C75" s="1" t="s">
        <v>51</v>
      </c>
      <c r="F75" s="26">
        <v>138115.48000000001</v>
      </c>
      <c r="G75" s="47">
        <v>1991348990.6400001</v>
      </c>
      <c r="H75" s="3">
        <f t="shared" si="4"/>
        <v>-928662.5</v>
      </c>
      <c r="I75" s="4">
        <f t="shared" si="5"/>
        <v>-13343790844.109997</v>
      </c>
    </row>
    <row r="76" spans="1:9" ht="15" customHeight="1" x14ac:dyDescent="0.2">
      <c r="A76" s="2">
        <v>44686</v>
      </c>
      <c r="C76" s="1" t="s">
        <v>17</v>
      </c>
      <c r="F76" s="26">
        <v>40</v>
      </c>
      <c r="G76" s="47">
        <v>576720</v>
      </c>
      <c r="H76" s="3">
        <f t="shared" si="4"/>
        <v>-928702.5</v>
      </c>
      <c r="I76" s="4">
        <f t="shared" si="5"/>
        <v>-13344367564.109997</v>
      </c>
    </row>
    <row r="77" spans="1:9" ht="15" customHeight="1" x14ac:dyDescent="0.2">
      <c r="A77" s="2">
        <v>44701</v>
      </c>
      <c r="C77" s="1" t="s">
        <v>45</v>
      </c>
      <c r="D77" s="41">
        <v>30000</v>
      </c>
      <c r="E77" s="4">
        <v>431100000</v>
      </c>
      <c r="H77" s="6">
        <f t="shared" si="4"/>
        <v>-898702.5</v>
      </c>
      <c r="I77" s="7">
        <f t="shared" si="5"/>
        <v>-12913267564.109997</v>
      </c>
    </row>
    <row r="78" spans="1:9" ht="15" customHeight="1" x14ac:dyDescent="0.2">
      <c r="A78" s="2">
        <v>44720</v>
      </c>
      <c r="C78" s="1" t="s">
        <v>45</v>
      </c>
      <c r="D78" s="41">
        <v>30000</v>
      </c>
      <c r="E78" s="4">
        <v>431100000</v>
      </c>
      <c r="H78" s="3">
        <f t="shared" si="4"/>
        <v>-868702.5</v>
      </c>
      <c r="I78" s="4">
        <f t="shared" si="5"/>
        <v>-12482167564.109997</v>
      </c>
    </row>
    <row r="79" spans="1:9" ht="15" customHeight="1" x14ac:dyDescent="0.2">
      <c r="A79" s="2">
        <v>44721</v>
      </c>
      <c r="C79" s="1" t="s">
        <v>52</v>
      </c>
      <c r="D79" s="28">
        <v>18644</v>
      </c>
      <c r="E79" s="4">
        <v>267709382.44</v>
      </c>
      <c r="H79" s="3">
        <f t="shared" si="4"/>
        <v>-850058.5</v>
      </c>
      <c r="I79" s="4">
        <f t="shared" si="5"/>
        <v>-12214458181.669996</v>
      </c>
    </row>
    <row r="80" spans="1:9" ht="15" customHeight="1" x14ac:dyDescent="0.2">
      <c r="A80" s="2">
        <v>44722</v>
      </c>
      <c r="C80" s="1" t="s">
        <v>53</v>
      </c>
      <c r="F80" s="16">
        <v>29231</v>
      </c>
      <c r="G80" s="4">
        <v>425457497.31</v>
      </c>
      <c r="H80" s="3">
        <f t="shared" si="4"/>
        <v>-879289.5</v>
      </c>
      <c r="I80" s="4">
        <f t="shared" si="5"/>
        <v>-12639915678.979996</v>
      </c>
    </row>
    <row r="81" spans="1:9" ht="15" customHeight="1" x14ac:dyDescent="0.2">
      <c r="A81" s="2">
        <v>44722</v>
      </c>
      <c r="C81" s="1" t="s">
        <v>17</v>
      </c>
      <c r="F81" s="16">
        <v>17</v>
      </c>
      <c r="G81" s="4">
        <v>247435.17</v>
      </c>
      <c r="H81" s="3">
        <f t="shared" si="4"/>
        <v>-879306.5</v>
      </c>
      <c r="I81" s="4">
        <f t="shared" si="5"/>
        <v>-12640163114.149996</v>
      </c>
    </row>
    <row r="82" spans="1:9" ht="15" customHeight="1" x14ac:dyDescent="0.2">
      <c r="A82" s="2">
        <v>44725</v>
      </c>
      <c r="C82" s="1" t="s">
        <v>54</v>
      </c>
      <c r="F82" s="41">
        <v>157107</v>
      </c>
      <c r="G82" s="4">
        <v>2288893454.0700002</v>
      </c>
      <c r="H82" s="3">
        <f t="shared" si="4"/>
        <v>-1036413.5</v>
      </c>
      <c r="I82" s="4">
        <f t="shared" si="5"/>
        <v>-14929056568.219995</v>
      </c>
    </row>
    <row r="83" spans="1:9" ht="15" customHeight="1" x14ac:dyDescent="0.2">
      <c r="A83" s="2">
        <v>44725</v>
      </c>
      <c r="C83" s="1" t="s">
        <v>17</v>
      </c>
      <c r="F83" s="41">
        <v>17</v>
      </c>
      <c r="G83" s="4">
        <v>247673.17</v>
      </c>
      <c r="H83" s="3">
        <f t="shared" si="4"/>
        <v>-1036430.5</v>
      </c>
      <c r="I83" s="4">
        <f t="shared" si="5"/>
        <v>-14929304241.389996</v>
      </c>
    </row>
    <row r="84" spans="1:9" ht="15" customHeight="1" x14ac:dyDescent="0.2">
      <c r="A84" s="2">
        <v>44727</v>
      </c>
      <c r="C84" s="1" t="s">
        <v>52</v>
      </c>
      <c r="D84" s="28">
        <v>18644</v>
      </c>
      <c r="E84" s="4">
        <v>267709382.44</v>
      </c>
      <c r="H84" s="3">
        <f t="shared" si="4"/>
        <v>-1017786.5</v>
      </c>
      <c r="I84" s="4">
        <f t="shared" si="5"/>
        <v>-14661594858.949995</v>
      </c>
    </row>
    <row r="85" spans="1:9" ht="15" customHeight="1" x14ac:dyDescent="0.2">
      <c r="A85" s="2">
        <v>44727</v>
      </c>
      <c r="C85" s="1" t="s">
        <v>64</v>
      </c>
      <c r="D85" s="29">
        <v>17624</v>
      </c>
      <c r="E85" s="4">
        <v>252886952.24000001</v>
      </c>
      <c r="H85" s="3">
        <f t="shared" si="4"/>
        <v>-1000162.5</v>
      </c>
      <c r="I85" s="4">
        <f t="shared" si="5"/>
        <v>-14408707906.709995</v>
      </c>
    </row>
    <row r="86" spans="1:9" ht="15" customHeight="1" x14ac:dyDescent="0.2">
      <c r="A86" s="2">
        <v>44729</v>
      </c>
      <c r="C86" s="1" t="s">
        <v>56</v>
      </c>
      <c r="F86" s="16">
        <v>27840.6</v>
      </c>
      <c r="G86" s="4">
        <v>410398563.00999999</v>
      </c>
      <c r="H86" s="3">
        <f t="shared" si="4"/>
        <v>-1028003.1</v>
      </c>
      <c r="I86" s="4">
        <f t="shared" si="5"/>
        <v>-14819106469.719995</v>
      </c>
    </row>
    <row r="87" spans="1:9" ht="15" customHeight="1" x14ac:dyDescent="0.2">
      <c r="A87" s="2">
        <v>44729</v>
      </c>
      <c r="C87" s="1" t="s">
        <v>21</v>
      </c>
      <c r="F87" s="16">
        <v>51</v>
      </c>
      <c r="G87" s="4">
        <v>751791.51</v>
      </c>
      <c r="H87" s="3">
        <f t="shared" si="4"/>
        <v>-1028054.1</v>
      </c>
      <c r="I87" s="4">
        <f t="shared" si="5"/>
        <v>-14819858261.229996</v>
      </c>
    </row>
    <row r="88" spans="1:9" ht="15" customHeight="1" x14ac:dyDescent="0.2">
      <c r="A88" s="2">
        <v>44729</v>
      </c>
      <c r="C88" s="1" t="s">
        <v>79</v>
      </c>
      <c r="F88" s="39">
        <v>547259.62</v>
      </c>
      <c r="G88" s="4">
        <v>8067159531.0200005</v>
      </c>
      <c r="H88" s="3">
        <f t="shared" si="4"/>
        <v>-1575313.72</v>
      </c>
      <c r="I88" s="4">
        <f t="shared" si="5"/>
        <v>-22887017792.249996</v>
      </c>
    </row>
    <row r="89" spans="1:9" ht="15" customHeight="1" x14ac:dyDescent="0.2">
      <c r="A89" s="2">
        <v>44729</v>
      </c>
      <c r="C89" s="1" t="s">
        <v>21</v>
      </c>
      <c r="F89" s="39">
        <v>25</v>
      </c>
      <c r="G89" s="4">
        <v>368525.25</v>
      </c>
      <c r="H89" s="3">
        <f t="shared" si="4"/>
        <v>-1575338.72</v>
      </c>
      <c r="I89" s="4">
        <f t="shared" si="5"/>
        <v>-22887386317.499996</v>
      </c>
    </row>
    <row r="90" spans="1:9" ht="15" customHeight="1" x14ac:dyDescent="0.2">
      <c r="A90" s="2">
        <v>44730</v>
      </c>
      <c r="C90" s="1" t="s">
        <v>57</v>
      </c>
      <c r="F90" s="41">
        <v>29198</v>
      </c>
      <c r="G90" s="4">
        <v>430408009.98000002</v>
      </c>
      <c r="H90" s="3">
        <f t="shared" si="4"/>
        <v>-1604536.72</v>
      </c>
      <c r="I90" s="4">
        <f t="shared" si="5"/>
        <v>-23317794327.479996</v>
      </c>
    </row>
    <row r="91" spans="1:9" ht="15" customHeight="1" x14ac:dyDescent="0.2">
      <c r="A91" s="2">
        <v>44730</v>
      </c>
      <c r="C91" s="1" t="s">
        <v>21</v>
      </c>
      <c r="F91" s="41">
        <v>50</v>
      </c>
      <c r="G91" s="4">
        <v>737050.5</v>
      </c>
      <c r="H91" s="3">
        <f t="shared" si="4"/>
        <v>-1604586.72</v>
      </c>
      <c r="I91" s="4">
        <f t="shared" si="5"/>
        <v>-23318531377.979996</v>
      </c>
    </row>
    <row r="92" spans="1:9" ht="15" customHeight="1" x14ac:dyDescent="0.2">
      <c r="A92" s="2">
        <v>44740</v>
      </c>
      <c r="C92" s="1" t="s">
        <v>59</v>
      </c>
      <c r="D92" s="29">
        <v>18644</v>
      </c>
      <c r="E92" s="4">
        <v>267560230.44</v>
      </c>
      <c r="H92" s="3">
        <f t="shared" si="4"/>
        <v>-1585942.72</v>
      </c>
      <c r="I92" s="4">
        <f t="shared" si="5"/>
        <v>-23050971147.539997</v>
      </c>
    </row>
    <row r="93" spans="1:9" ht="15" customHeight="1" x14ac:dyDescent="0.2">
      <c r="A93" s="2">
        <v>44740</v>
      </c>
      <c r="C93" s="1" t="s">
        <v>69</v>
      </c>
      <c r="D93" s="29"/>
      <c r="F93" s="21">
        <v>18732</v>
      </c>
      <c r="G93" s="4">
        <v>277271064</v>
      </c>
      <c r="H93" s="3">
        <f t="shared" si="4"/>
        <v>-1604674.72</v>
      </c>
      <c r="I93" s="4">
        <f t="shared" si="5"/>
        <v>-23328242211.539997</v>
      </c>
    </row>
    <row r="94" spans="1:9" ht="15" customHeight="1" x14ac:dyDescent="0.2">
      <c r="A94" s="2">
        <v>44740</v>
      </c>
      <c r="C94" s="1" t="s">
        <v>128</v>
      </c>
      <c r="F94" s="3">
        <v>37434</v>
      </c>
      <c r="G94" s="4">
        <v>554098068</v>
      </c>
      <c r="H94" s="3">
        <f t="shared" si="4"/>
        <v>-1642108.72</v>
      </c>
      <c r="I94" s="4">
        <f t="shared" si="5"/>
        <v>-23882340279.539997</v>
      </c>
    </row>
    <row r="95" spans="1:9" ht="15" customHeight="1" x14ac:dyDescent="0.2">
      <c r="A95" s="2">
        <v>44740</v>
      </c>
      <c r="C95" s="1" t="s">
        <v>21</v>
      </c>
      <c r="F95" s="3">
        <v>30</v>
      </c>
      <c r="G95" s="4">
        <v>444060</v>
      </c>
      <c r="H95" s="3">
        <f t="shared" si="4"/>
        <v>-1642138.72</v>
      </c>
      <c r="I95" s="4">
        <f t="shared" si="5"/>
        <v>-23882784339.539997</v>
      </c>
    </row>
    <row r="96" spans="1:9" ht="15" customHeight="1" x14ac:dyDescent="0.2">
      <c r="A96" s="37">
        <v>44741</v>
      </c>
      <c r="B96" s="35"/>
      <c r="C96" s="35" t="s">
        <v>77</v>
      </c>
      <c r="D96" s="36">
        <v>25000</v>
      </c>
      <c r="E96" s="38">
        <v>356800000</v>
      </c>
      <c r="H96" s="6">
        <f t="shared" si="4"/>
        <v>-1617138.72</v>
      </c>
      <c r="I96" s="7">
        <f t="shared" si="5"/>
        <v>-23525984339.539997</v>
      </c>
    </row>
    <row r="97" spans="1:9" ht="15" customHeight="1" x14ac:dyDescent="0.2">
      <c r="A97" s="2">
        <v>44743</v>
      </c>
      <c r="C97" s="1" t="s">
        <v>65</v>
      </c>
      <c r="F97" s="34">
        <v>16074</v>
      </c>
      <c r="G97" s="4">
        <v>239213268</v>
      </c>
      <c r="H97" s="3">
        <f t="shared" si="4"/>
        <v>-1633212.72</v>
      </c>
      <c r="I97" s="4">
        <f t="shared" si="5"/>
        <v>-23765197607.539997</v>
      </c>
    </row>
    <row r="98" spans="1:9" ht="15" customHeight="1" x14ac:dyDescent="0.2">
      <c r="A98" s="2">
        <v>44743</v>
      </c>
      <c r="C98" s="1" t="s">
        <v>17</v>
      </c>
      <c r="F98" s="34">
        <v>30</v>
      </c>
      <c r="G98" s="4">
        <v>446460</v>
      </c>
      <c r="H98" s="3">
        <f t="shared" si="4"/>
        <v>-1633242.72</v>
      </c>
      <c r="I98" s="4">
        <f t="shared" si="5"/>
        <v>-23765644067.539997</v>
      </c>
    </row>
    <row r="99" spans="1:9" ht="15" customHeight="1" x14ac:dyDescent="0.2">
      <c r="A99" s="2">
        <v>44760</v>
      </c>
      <c r="C99" s="1" t="s">
        <v>59</v>
      </c>
      <c r="D99" s="29">
        <f>55932-18644</f>
        <v>37288</v>
      </c>
      <c r="E99" s="4">
        <f>803128147.32-267560230.44</f>
        <v>535567916.88000005</v>
      </c>
      <c r="H99" s="3">
        <f t="shared" si="4"/>
        <v>-1595954.72</v>
      </c>
      <c r="I99" s="4">
        <f t="shared" si="5"/>
        <v>-23230076150.659996</v>
      </c>
    </row>
    <row r="100" spans="1:9" ht="15" customHeight="1" x14ac:dyDescent="0.2">
      <c r="A100" s="2">
        <v>44763</v>
      </c>
      <c r="C100" s="1" t="s">
        <v>45</v>
      </c>
      <c r="D100" s="41">
        <v>30000</v>
      </c>
      <c r="E100" s="4">
        <v>431100000</v>
      </c>
      <c r="H100" s="3">
        <f t="shared" si="4"/>
        <v>-1565954.72</v>
      </c>
      <c r="I100" s="4">
        <f t="shared" si="5"/>
        <v>-22798976150.659996</v>
      </c>
    </row>
    <row r="101" spans="1:9" ht="15" customHeight="1" x14ac:dyDescent="0.2">
      <c r="A101" s="2">
        <v>44765</v>
      </c>
      <c r="C101" s="1" t="s">
        <v>75</v>
      </c>
      <c r="F101" s="21">
        <v>52794</v>
      </c>
      <c r="G101" s="4">
        <v>792807498</v>
      </c>
      <c r="H101" s="3">
        <f t="shared" si="4"/>
        <v>-1618748.72</v>
      </c>
      <c r="I101" s="4">
        <f t="shared" si="5"/>
        <v>-23591783648.659996</v>
      </c>
    </row>
    <row r="102" spans="1:9" ht="15" customHeight="1" x14ac:dyDescent="0.2">
      <c r="A102" s="2">
        <v>44765</v>
      </c>
      <c r="C102" s="1" t="s">
        <v>17</v>
      </c>
      <c r="F102" s="21">
        <v>30</v>
      </c>
      <c r="G102" s="4">
        <v>450510</v>
      </c>
      <c r="H102" s="3">
        <f t="shared" si="4"/>
        <v>-1618778.72</v>
      </c>
      <c r="I102" s="4">
        <f t="shared" si="5"/>
        <v>-23592234158.659996</v>
      </c>
    </row>
    <row r="103" spans="1:9" ht="15" customHeight="1" x14ac:dyDescent="0.2">
      <c r="A103" s="2">
        <v>44770</v>
      </c>
      <c r="C103" s="1" t="s">
        <v>69</v>
      </c>
      <c r="F103" s="33">
        <v>116305.15</v>
      </c>
      <c r="G103" s="4">
        <v>1746903353</v>
      </c>
      <c r="H103" s="3">
        <f t="shared" si="4"/>
        <v>-1735083.8699999999</v>
      </c>
      <c r="I103" s="4">
        <f t="shared" si="5"/>
        <v>-25339137511.659996</v>
      </c>
    </row>
    <row r="104" spans="1:9" ht="15" customHeight="1" x14ac:dyDescent="0.2">
      <c r="A104" s="2">
        <v>44770</v>
      </c>
      <c r="C104" s="1" t="s">
        <v>17</v>
      </c>
      <c r="F104" s="33">
        <v>30</v>
      </c>
      <c r="G104" s="4">
        <v>450600</v>
      </c>
      <c r="H104" s="3">
        <f t="shared" si="4"/>
        <v>-1735113.8699999999</v>
      </c>
      <c r="I104" s="4">
        <f t="shared" si="5"/>
        <v>-25339588111.659996</v>
      </c>
    </row>
    <row r="105" spans="1:9" ht="15" customHeight="1" x14ac:dyDescent="0.2">
      <c r="A105" s="2">
        <v>44771</v>
      </c>
      <c r="C105" s="1" t="s">
        <v>58</v>
      </c>
      <c r="D105" s="3">
        <v>18644</v>
      </c>
      <c r="E105" s="4">
        <v>267560230.44</v>
      </c>
      <c r="H105" s="6">
        <f t="shared" si="4"/>
        <v>-1716469.8699999999</v>
      </c>
      <c r="I105" s="7">
        <f t="shared" si="5"/>
        <v>-25072027881.219997</v>
      </c>
    </row>
    <row r="106" spans="1:9" ht="15" customHeight="1" x14ac:dyDescent="0.2">
      <c r="A106" s="2">
        <v>44775</v>
      </c>
      <c r="C106" s="1" t="s">
        <v>73</v>
      </c>
      <c r="F106" s="41">
        <v>17033</v>
      </c>
      <c r="G106" s="4">
        <v>253348842</v>
      </c>
      <c r="H106" s="3">
        <f t="shared" si="4"/>
        <v>-1733502.8699999999</v>
      </c>
      <c r="I106" s="4">
        <f t="shared" si="5"/>
        <v>-25325376723.219997</v>
      </c>
    </row>
    <row r="107" spans="1:9" ht="15" customHeight="1" x14ac:dyDescent="0.2">
      <c r="A107" s="2">
        <v>44775</v>
      </c>
      <c r="C107" s="1" t="s">
        <v>17</v>
      </c>
      <c r="F107" s="41">
        <v>16.3</v>
      </c>
      <c r="G107" s="4">
        <v>242446.2</v>
      </c>
      <c r="H107" s="3">
        <f t="shared" si="4"/>
        <v>-1733519.17</v>
      </c>
      <c r="I107" s="4">
        <f t="shared" si="5"/>
        <v>-25325619169.419998</v>
      </c>
    </row>
    <row r="108" spans="1:9" ht="15" customHeight="1" x14ac:dyDescent="0.2">
      <c r="A108" s="2">
        <v>44777</v>
      </c>
      <c r="C108" s="1" t="s">
        <v>70</v>
      </c>
      <c r="D108" s="33">
        <f>16592</f>
        <v>16592</v>
      </c>
      <c r="E108" s="4">
        <v>238178325.91999999</v>
      </c>
      <c r="H108" s="3">
        <f t="shared" si="4"/>
        <v>-1716927.17</v>
      </c>
      <c r="I108" s="4">
        <f t="shared" si="5"/>
        <v>-25087440843.5</v>
      </c>
    </row>
    <row r="109" spans="1:9" ht="15" customHeight="1" x14ac:dyDescent="0.2">
      <c r="A109" s="2">
        <v>44777</v>
      </c>
      <c r="C109" s="1" t="s">
        <v>72</v>
      </c>
      <c r="D109" s="3">
        <v>13408</v>
      </c>
      <c r="E109" s="4">
        <v>192713318.08000001</v>
      </c>
      <c r="H109" s="3">
        <f t="shared" si="4"/>
        <v>-1703519.17</v>
      </c>
      <c r="I109" s="4">
        <f t="shared" si="5"/>
        <v>-24894727525.419998</v>
      </c>
    </row>
    <row r="110" spans="1:9" ht="15" customHeight="1" x14ac:dyDescent="0.2">
      <c r="A110" s="2">
        <v>44777</v>
      </c>
      <c r="C110" s="1" t="s">
        <v>71</v>
      </c>
      <c r="D110" s="33">
        <v>116335.15</v>
      </c>
      <c r="E110" s="4">
        <f>1746903353+450600</f>
        <v>1747353953</v>
      </c>
      <c r="H110" s="3">
        <f t="shared" si="4"/>
        <v>-1587184.02</v>
      </c>
      <c r="I110" s="4">
        <f t="shared" si="5"/>
        <v>-23147373572.419998</v>
      </c>
    </row>
    <row r="111" spans="1:9" ht="15" customHeight="1" x14ac:dyDescent="0.2">
      <c r="A111" s="2">
        <v>44777</v>
      </c>
      <c r="C111" s="35" t="s">
        <v>77</v>
      </c>
      <c r="D111" s="36">
        <v>8000</v>
      </c>
      <c r="E111" s="4">
        <v>114176000</v>
      </c>
      <c r="H111" s="3">
        <f t="shared" si="4"/>
        <v>-1579184.02</v>
      </c>
      <c r="I111" s="4">
        <f t="shared" si="5"/>
        <v>-23033197572.419998</v>
      </c>
    </row>
    <row r="112" spans="1:9" ht="15" customHeight="1" x14ac:dyDescent="0.2">
      <c r="A112" s="2">
        <v>44778</v>
      </c>
      <c r="C112" s="1" t="s">
        <v>58</v>
      </c>
      <c r="D112" s="3">
        <v>18644</v>
      </c>
      <c r="E112" s="4">
        <v>267560230.44</v>
      </c>
      <c r="H112" s="3">
        <f t="shared" si="4"/>
        <v>-1560540.02</v>
      </c>
      <c r="I112" s="4">
        <f t="shared" si="5"/>
        <v>-22765637341.98</v>
      </c>
    </row>
    <row r="113" spans="1:9" ht="15" customHeight="1" x14ac:dyDescent="0.2">
      <c r="A113" s="2">
        <v>44778</v>
      </c>
      <c r="C113" s="1" t="s">
        <v>66</v>
      </c>
      <c r="D113" s="34">
        <v>16104</v>
      </c>
      <c r="E113" s="4">
        <v>239659728</v>
      </c>
      <c r="H113" s="3">
        <f t="shared" si="4"/>
        <v>-1544436.02</v>
      </c>
      <c r="I113" s="4">
        <f t="shared" si="5"/>
        <v>-22525977613.98</v>
      </c>
    </row>
    <row r="114" spans="1:9" ht="15" customHeight="1" x14ac:dyDescent="0.2">
      <c r="A114" s="2">
        <v>44778</v>
      </c>
      <c r="C114" s="1" t="s">
        <v>64</v>
      </c>
      <c r="D114" s="34">
        <v>17624</v>
      </c>
      <c r="E114" s="4">
        <v>252886952.24000001</v>
      </c>
      <c r="H114" s="3">
        <f t="shared" si="4"/>
        <v>-1526812.02</v>
      </c>
      <c r="I114" s="4">
        <f t="shared" si="5"/>
        <v>-22273090661.739998</v>
      </c>
    </row>
    <row r="115" spans="1:9" ht="15" customHeight="1" x14ac:dyDescent="0.2">
      <c r="A115" s="2">
        <v>44781</v>
      </c>
      <c r="C115" s="1" t="s">
        <v>96</v>
      </c>
      <c r="F115" s="16">
        <v>149339.26</v>
      </c>
      <c r="G115" s="4">
        <v>2225752331.04</v>
      </c>
      <c r="H115" s="3">
        <f t="shared" si="4"/>
        <v>-1676151.28</v>
      </c>
      <c r="I115" s="4">
        <f t="shared" si="5"/>
        <v>-24498842992.779999</v>
      </c>
    </row>
    <row r="116" spans="1:9" ht="15" customHeight="1" x14ac:dyDescent="0.2">
      <c r="A116" s="2">
        <v>44781</v>
      </c>
      <c r="C116" s="1" t="s">
        <v>21</v>
      </c>
      <c r="F116" s="16">
        <v>62</v>
      </c>
      <c r="G116" s="4">
        <v>924048</v>
      </c>
      <c r="H116" s="3">
        <f t="shared" si="4"/>
        <v>-1676213.28</v>
      </c>
      <c r="I116" s="4">
        <f t="shared" si="5"/>
        <v>-24499767040.779999</v>
      </c>
    </row>
    <row r="117" spans="1:9" ht="15" customHeight="1" x14ac:dyDescent="0.2">
      <c r="A117" s="2">
        <v>44783</v>
      </c>
      <c r="C117" s="1" t="s">
        <v>74</v>
      </c>
      <c r="D117" s="21">
        <v>18732</v>
      </c>
      <c r="E117" s="4">
        <v>277271064</v>
      </c>
      <c r="H117" s="3">
        <f t="shared" si="4"/>
        <v>-1657481.28</v>
      </c>
      <c r="I117" s="4">
        <f t="shared" si="5"/>
        <v>-24222495976.779999</v>
      </c>
    </row>
    <row r="118" spans="1:9" ht="15" customHeight="1" x14ac:dyDescent="0.2">
      <c r="A118" s="2">
        <v>44784</v>
      </c>
      <c r="C118" s="1" t="s">
        <v>83</v>
      </c>
      <c r="F118" s="16">
        <v>68000</v>
      </c>
      <c r="G118" s="4">
        <v>1011500680</v>
      </c>
      <c r="H118" s="3">
        <f t="shared" si="4"/>
        <v>-1725481.28</v>
      </c>
      <c r="I118" s="4">
        <f t="shared" si="5"/>
        <v>-25233996656.779999</v>
      </c>
    </row>
    <row r="119" spans="1:9" ht="15" customHeight="1" x14ac:dyDescent="0.2">
      <c r="A119" s="2">
        <v>44784</v>
      </c>
      <c r="C119" s="1" t="s">
        <v>83</v>
      </c>
      <c r="F119" s="41">
        <f>130159.9-68000</f>
        <v>62159.899999999994</v>
      </c>
      <c r="G119" s="4">
        <v>924629134.10000002</v>
      </c>
      <c r="H119" s="3">
        <f t="shared" ref="H119:H120" si="6">+H118+D119-F119</f>
        <v>-1787641.18</v>
      </c>
      <c r="I119" s="4">
        <f t="shared" ref="I119:I120" si="7">+I118+E119-G119</f>
        <v>-26158625790.879997</v>
      </c>
    </row>
    <row r="120" spans="1:9" ht="15" customHeight="1" x14ac:dyDescent="0.2">
      <c r="A120" s="2">
        <v>44784</v>
      </c>
      <c r="C120" s="1" t="s">
        <v>17</v>
      </c>
      <c r="F120" s="41">
        <v>30</v>
      </c>
      <c r="G120" s="4">
        <v>446250.3</v>
      </c>
      <c r="H120" s="3">
        <f t="shared" si="6"/>
        <v>-1787671.18</v>
      </c>
      <c r="I120" s="4">
        <f t="shared" si="7"/>
        <v>-26159072041.179996</v>
      </c>
    </row>
    <row r="121" spans="1:9" ht="15" customHeight="1" x14ac:dyDescent="0.2">
      <c r="A121" s="2">
        <v>44785</v>
      </c>
      <c r="C121" s="1" t="s">
        <v>84</v>
      </c>
      <c r="D121" s="16">
        <v>19752</v>
      </c>
      <c r="E121" s="4">
        <v>284784336</v>
      </c>
      <c r="H121" s="3">
        <f t="shared" si="4"/>
        <v>-1767919.18</v>
      </c>
      <c r="I121" s="4">
        <f t="shared" si="5"/>
        <v>-25874287705.179996</v>
      </c>
    </row>
    <row r="122" spans="1:9" ht="15" customHeight="1" x14ac:dyDescent="0.2">
      <c r="A122" s="2">
        <v>44791</v>
      </c>
      <c r="C122" s="1" t="s">
        <v>53</v>
      </c>
      <c r="F122" s="16">
        <v>88884.68</v>
      </c>
      <c r="G122" s="4">
        <v>1312560069.5599999</v>
      </c>
      <c r="H122" s="3">
        <f t="shared" si="4"/>
        <v>-1856803.8599999999</v>
      </c>
      <c r="I122" s="4">
        <f t="shared" si="5"/>
        <v>-27186847774.739998</v>
      </c>
    </row>
    <row r="123" spans="1:9" ht="15" customHeight="1" x14ac:dyDescent="0.2">
      <c r="A123" s="2">
        <v>44791</v>
      </c>
      <c r="C123" s="1" t="s">
        <v>17</v>
      </c>
      <c r="F123" s="16">
        <v>17</v>
      </c>
      <c r="G123" s="4">
        <v>251039</v>
      </c>
      <c r="H123" s="3">
        <f t="shared" si="4"/>
        <v>-1856820.8599999999</v>
      </c>
      <c r="I123" s="4">
        <f t="shared" si="5"/>
        <v>-27187098813.739998</v>
      </c>
    </row>
    <row r="124" spans="1:9" ht="15" customHeight="1" x14ac:dyDescent="0.2">
      <c r="A124" s="2">
        <v>44791</v>
      </c>
      <c r="C124" s="35" t="s">
        <v>77</v>
      </c>
      <c r="D124" s="36">
        <v>24536.9</v>
      </c>
      <c r="E124" s="4">
        <v>350190636.80000001</v>
      </c>
      <c r="H124" s="3">
        <f t="shared" si="4"/>
        <v>-1832283.96</v>
      </c>
      <c r="I124" s="4">
        <f t="shared" si="5"/>
        <v>-26836908176.939999</v>
      </c>
    </row>
    <row r="125" spans="1:9" ht="15" customHeight="1" x14ac:dyDescent="0.2">
      <c r="A125" s="2">
        <v>44797</v>
      </c>
      <c r="C125" s="1" t="s">
        <v>57</v>
      </c>
      <c r="F125" s="16">
        <v>41663.03</v>
      </c>
      <c r="G125" s="4">
        <v>620487505.78999996</v>
      </c>
      <c r="H125" s="3">
        <f t="shared" si="4"/>
        <v>-1873946.99</v>
      </c>
      <c r="I125" s="4">
        <f t="shared" si="5"/>
        <v>-27457395682.73</v>
      </c>
    </row>
    <row r="126" spans="1:9" ht="15" customHeight="1" x14ac:dyDescent="0.2">
      <c r="A126" s="2">
        <v>44797</v>
      </c>
      <c r="C126" s="1" t="s">
        <v>17</v>
      </c>
      <c r="F126" s="16">
        <v>50</v>
      </c>
      <c r="G126" s="4">
        <v>744650</v>
      </c>
      <c r="H126" s="3">
        <f t="shared" si="4"/>
        <v>-1873996.99</v>
      </c>
      <c r="I126" s="4">
        <f t="shared" si="5"/>
        <v>-27458140332.73</v>
      </c>
    </row>
    <row r="127" spans="1:9" ht="15" customHeight="1" x14ac:dyDescent="0.2">
      <c r="A127" s="2">
        <v>44798</v>
      </c>
      <c r="C127" s="1" t="s">
        <v>80</v>
      </c>
      <c r="D127" s="39">
        <v>547284.62</v>
      </c>
      <c r="E127" s="4">
        <v>8067528056.2700005</v>
      </c>
      <c r="H127" s="3">
        <f t="shared" si="4"/>
        <v>-1326712.3700000001</v>
      </c>
      <c r="I127" s="4">
        <f t="shared" si="5"/>
        <v>-19390612276.459999</v>
      </c>
    </row>
    <row r="128" spans="1:9" ht="15" customHeight="1" x14ac:dyDescent="0.2">
      <c r="A128" s="2">
        <v>44799</v>
      </c>
      <c r="C128" s="1" t="s">
        <v>86</v>
      </c>
      <c r="F128" s="16">
        <v>39426.6</v>
      </c>
      <c r="G128" s="4">
        <v>584578198.19999993</v>
      </c>
      <c r="H128" s="3">
        <f t="shared" si="4"/>
        <v>-1366138.9700000002</v>
      </c>
      <c r="I128" s="4">
        <f t="shared" si="5"/>
        <v>-19975190474.66</v>
      </c>
    </row>
    <row r="129" spans="1:9" ht="15" customHeight="1" x14ac:dyDescent="0.2">
      <c r="A129" s="2">
        <v>44799</v>
      </c>
      <c r="C129" s="1" t="s">
        <v>21</v>
      </c>
      <c r="F129" s="16">
        <v>15</v>
      </c>
      <c r="G129" s="4">
        <v>222405</v>
      </c>
      <c r="H129" s="3">
        <f t="shared" si="4"/>
        <v>-1366153.9700000002</v>
      </c>
      <c r="I129" s="4">
        <f t="shared" si="5"/>
        <v>-19975412879.66</v>
      </c>
    </row>
    <row r="130" spans="1:9" ht="15" customHeight="1" x14ac:dyDescent="0.2">
      <c r="A130" s="42">
        <v>44799</v>
      </c>
      <c r="B130" s="43"/>
      <c r="C130" s="43" t="s">
        <v>86</v>
      </c>
      <c r="D130" s="44"/>
      <c r="E130" s="45"/>
      <c r="F130" s="44">
        <v>19705.8</v>
      </c>
      <c r="G130" s="45">
        <v>292177896.59999996</v>
      </c>
      <c r="H130" s="3">
        <f t="shared" si="4"/>
        <v>-1385859.7700000003</v>
      </c>
      <c r="I130" s="4">
        <f t="shared" si="5"/>
        <v>-20267590776.259998</v>
      </c>
    </row>
    <row r="131" spans="1:9" ht="15" customHeight="1" x14ac:dyDescent="0.2">
      <c r="A131" s="42">
        <v>44799</v>
      </c>
      <c r="B131" s="43"/>
      <c r="C131" s="43" t="s">
        <v>17</v>
      </c>
      <c r="D131" s="44"/>
      <c r="E131" s="45"/>
      <c r="F131" s="44">
        <v>15</v>
      </c>
      <c r="G131" s="45">
        <v>222405</v>
      </c>
      <c r="H131" s="3">
        <f t="shared" si="4"/>
        <v>-1385874.7700000003</v>
      </c>
      <c r="I131" s="4">
        <f t="shared" si="5"/>
        <v>-20267813181.259998</v>
      </c>
    </row>
    <row r="132" spans="1:9" ht="15" customHeight="1" x14ac:dyDescent="0.2">
      <c r="A132" s="2">
        <v>44802</v>
      </c>
      <c r="C132" s="1" t="s">
        <v>76</v>
      </c>
      <c r="D132" s="21">
        <v>52824</v>
      </c>
      <c r="E132" s="4">
        <v>793258008</v>
      </c>
      <c r="F132" s="1"/>
      <c r="G132" s="1"/>
      <c r="H132" s="3">
        <f t="shared" si="4"/>
        <v>-1333050.7700000003</v>
      </c>
      <c r="I132" s="4">
        <f t="shared" si="5"/>
        <v>-19474555173.259998</v>
      </c>
    </row>
    <row r="133" spans="1:9" ht="15" customHeight="1" x14ac:dyDescent="0.2">
      <c r="A133" s="2">
        <v>44804</v>
      </c>
      <c r="C133" s="1" t="s">
        <v>83</v>
      </c>
      <c r="F133" s="16">
        <v>190083.99</v>
      </c>
      <c r="G133" s="4">
        <v>2827501252.0900002</v>
      </c>
      <c r="H133" s="3">
        <f t="shared" si="4"/>
        <v>-1523134.7600000002</v>
      </c>
      <c r="I133" s="4">
        <f t="shared" si="5"/>
        <v>-22302056425.349998</v>
      </c>
    </row>
    <row r="134" spans="1:9" ht="15" customHeight="1" x14ac:dyDescent="0.2">
      <c r="A134" s="2">
        <v>44804</v>
      </c>
      <c r="C134" s="1" t="s">
        <v>21</v>
      </c>
      <c r="F134" s="16">
        <v>30</v>
      </c>
      <c r="G134" s="4">
        <v>446250.3</v>
      </c>
      <c r="H134" s="3">
        <f t="shared" si="4"/>
        <v>-1523164.7600000002</v>
      </c>
      <c r="I134" s="4">
        <f t="shared" si="5"/>
        <v>-22302502675.649998</v>
      </c>
    </row>
    <row r="135" spans="1:9" ht="15" customHeight="1" x14ac:dyDescent="0.2">
      <c r="A135" s="2">
        <v>44804</v>
      </c>
      <c r="C135" s="1" t="s">
        <v>56</v>
      </c>
      <c r="F135" s="3">
        <v>82489</v>
      </c>
      <c r="G135" s="4">
        <v>1227024699.8900001</v>
      </c>
      <c r="H135" s="3">
        <f t="shared" si="4"/>
        <v>-1605653.7600000002</v>
      </c>
      <c r="I135" s="4">
        <f t="shared" si="5"/>
        <v>-23529527375.539997</v>
      </c>
    </row>
    <row r="136" spans="1:9" ht="15" customHeight="1" x14ac:dyDescent="0.2">
      <c r="A136" s="2">
        <v>44804</v>
      </c>
      <c r="C136" s="1" t="s">
        <v>21</v>
      </c>
      <c r="F136" s="3">
        <v>55</v>
      </c>
      <c r="G136" s="4">
        <v>818125.55</v>
      </c>
      <c r="H136" s="6">
        <f t="shared" si="4"/>
        <v>-1605708.7600000002</v>
      </c>
      <c r="I136" s="7">
        <f t="shared" si="5"/>
        <v>-23530345501.089996</v>
      </c>
    </row>
    <row r="137" spans="1:9" ht="15" customHeight="1" x14ac:dyDescent="0.2">
      <c r="A137" s="2">
        <v>44805</v>
      </c>
      <c r="C137" s="40" t="s">
        <v>91</v>
      </c>
      <c r="D137" s="16">
        <v>118149.68</v>
      </c>
      <c r="E137" s="4">
        <v>1738516041.04</v>
      </c>
      <c r="H137" s="3">
        <f t="shared" si="4"/>
        <v>-1487559.0800000003</v>
      </c>
      <c r="I137" s="4">
        <f t="shared" si="5"/>
        <v>-21791829460.049995</v>
      </c>
    </row>
    <row r="138" spans="1:9" ht="15" customHeight="1" x14ac:dyDescent="0.2">
      <c r="A138" s="2">
        <v>44805</v>
      </c>
      <c r="C138" s="40" t="s">
        <v>112</v>
      </c>
      <c r="D138" s="16">
        <v>149401.26</v>
      </c>
      <c r="E138" s="4">
        <v>2226676379.04</v>
      </c>
      <c r="H138" s="3">
        <f t="shared" ref="H138:H139" si="8">+H137+D138-F138</f>
        <v>-1338157.8200000003</v>
      </c>
      <c r="I138" s="4">
        <f t="shared" ref="I138:I139" si="9">+I137+E138-G138</f>
        <v>-19565153081.009995</v>
      </c>
    </row>
    <row r="139" spans="1:9" ht="15" customHeight="1" x14ac:dyDescent="0.2">
      <c r="A139" s="2">
        <v>44806</v>
      </c>
      <c r="C139" s="40" t="s">
        <v>82</v>
      </c>
      <c r="D139" s="16">
        <f>68000+190113.99</f>
        <v>258113.99</v>
      </c>
      <c r="E139" s="4">
        <v>3839448182.3899999</v>
      </c>
      <c r="H139" s="3">
        <f t="shared" si="8"/>
        <v>-1080043.8300000003</v>
      </c>
      <c r="I139" s="4">
        <f t="shared" si="9"/>
        <v>-15725704898.619995</v>
      </c>
    </row>
    <row r="140" spans="1:9" ht="15" customHeight="1" x14ac:dyDescent="0.2">
      <c r="A140" s="2">
        <v>44806</v>
      </c>
      <c r="C140" s="40" t="s">
        <v>88</v>
      </c>
      <c r="D140" s="16">
        <f>14624+41713.03</f>
        <v>56337.03</v>
      </c>
      <c r="E140" s="4">
        <f>215572530.24+621232155.79</f>
        <v>836804686.02999997</v>
      </c>
      <c r="H140" s="3">
        <f t="shared" ref="H140:H160" si="10">+H139+D140-F140</f>
        <v>-1023706.8000000003</v>
      </c>
      <c r="I140" s="4">
        <f t="shared" ref="I140:I160" si="11">+I139+E140-G140</f>
        <v>-14888900212.589994</v>
      </c>
    </row>
    <row r="141" spans="1:9" ht="15" customHeight="1" x14ac:dyDescent="0.2">
      <c r="A141" s="2">
        <v>44810</v>
      </c>
      <c r="C141" s="40" t="s">
        <v>85</v>
      </c>
      <c r="D141" s="16">
        <v>19752</v>
      </c>
      <c r="E141" s="4">
        <v>284784336</v>
      </c>
      <c r="H141" s="3">
        <f t="shared" si="10"/>
        <v>-1003954.8000000003</v>
      </c>
      <c r="I141" s="4">
        <f t="shared" si="11"/>
        <v>-14604115876.589994</v>
      </c>
    </row>
    <row r="142" spans="1:9" ht="15" customHeight="1" x14ac:dyDescent="0.2">
      <c r="A142" s="2">
        <v>44818</v>
      </c>
      <c r="C142" s="40" t="s">
        <v>86</v>
      </c>
      <c r="F142" s="41">
        <v>26252.400000000001</v>
      </c>
      <c r="G142" s="4">
        <v>390136916.39999998</v>
      </c>
      <c r="H142" s="3">
        <f t="shared" si="10"/>
        <v>-1030207.2000000003</v>
      </c>
      <c r="I142" s="4">
        <f t="shared" si="11"/>
        <v>-14994252792.989994</v>
      </c>
    </row>
    <row r="143" spans="1:9" ht="15" customHeight="1" x14ac:dyDescent="0.2">
      <c r="A143" s="2">
        <v>44818</v>
      </c>
      <c r="C143" s="40" t="s">
        <v>21</v>
      </c>
      <c r="F143" s="41">
        <v>42</v>
      </c>
      <c r="G143" s="4">
        <v>624162</v>
      </c>
      <c r="H143" s="3">
        <f t="shared" si="10"/>
        <v>-1030249.2000000003</v>
      </c>
      <c r="I143" s="4">
        <f t="shared" si="11"/>
        <v>-14994876954.989994</v>
      </c>
    </row>
    <row r="144" spans="1:9" ht="15" customHeight="1" x14ac:dyDescent="0.2">
      <c r="A144" s="2">
        <v>44824</v>
      </c>
      <c r="C144" s="40" t="s">
        <v>79</v>
      </c>
      <c r="F144" s="41">
        <v>724608.55</v>
      </c>
      <c r="G144" s="4">
        <v>10854636079</v>
      </c>
      <c r="H144" s="3">
        <f t="shared" si="10"/>
        <v>-1754857.7500000005</v>
      </c>
      <c r="I144" s="4">
        <f t="shared" si="11"/>
        <v>-25849513033.989994</v>
      </c>
    </row>
    <row r="145" spans="1:12" ht="15" customHeight="1" x14ac:dyDescent="0.2">
      <c r="A145" s="2">
        <v>44824</v>
      </c>
      <c r="C145" s="40" t="s">
        <v>21</v>
      </c>
      <c r="F145" s="41">
        <v>25</v>
      </c>
      <c r="G145" s="4">
        <v>374500</v>
      </c>
      <c r="H145" s="3">
        <f t="shared" si="10"/>
        <v>-1754882.7500000005</v>
      </c>
      <c r="I145" s="4">
        <f t="shared" si="11"/>
        <v>-25849887533.989994</v>
      </c>
    </row>
    <row r="146" spans="1:12" ht="15" customHeight="1" x14ac:dyDescent="0.2">
      <c r="A146" s="2">
        <v>44824</v>
      </c>
      <c r="C146" s="40" t="s">
        <v>87</v>
      </c>
      <c r="D146" s="16">
        <v>27891.599999999999</v>
      </c>
      <c r="E146" s="4">
        <v>411150354.51999998</v>
      </c>
      <c r="H146" s="3">
        <f t="shared" si="10"/>
        <v>-1726991.1500000004</v>
      </c>
      <c r="I146" s="4">
        <f t="shared" si="11"/>
        <v>-25438737179.469994</v>
      </c>
    </row>
    <row r="147" spans="1:12" s="43" customFormat="1" ht="15" customHeight="1" x14ac:dyDescent="0.2">
      <c r="A147" s="42">
        <v>44826</v>
      </c>
      <c r="C147" s="46" t="s">
        <v>86</v>
      </c>
      <c r="D147" s="44"/>
      <c r="E147" s="45"/>
      <c r="F147" s="44">
        <v>128350.2</v>
      </c>
      <c r="G147" s="45">
        <v>1926664852.2</v>
      </c>
      <c r="H147" s="44">
        <f t="shared" si="10"/>
        <v>-1855341.3500000003</v>
      </c>
      <c r="I147" s="45">
        <f t="shared" si="11"/>
        <v>-27365402031.669994</v>
      </c>
      <c r="K147" s="44"/>
      <c r="L147" s="45"/>
    </row>
    <row r="148" spans="1:12" s="43" customFormat="1" ht="15" customHeight="1" x14ac:dyDescent="0.2">
      <c r="A148" s="42">
        <v>44826</v>
      </c>
      <c r="C148" s="46" t="s">
        <v>21</v>
      </c>
      <c r="D148" s="44"/>
      <c r="E148" s="45"/>
      <c r="F148" s="44">
        <v>15</v>
      </c>
      <c r="G148" s="45">
        <v>225165</v>
      </c>
      <c r="H148" s="44">
        <f t="shared" si="10"/>
        <v>-1855356.3500000003</v>
      </c>
      <c r="I148" s="45">
        <f t="shared" si="11"/>
        <v>-27365627196.669994</v>
      </c>
      <c r="K148" s="44"/>
      <c r="L148" s="45"/>
    </row>
    <row r="149" spans="1:12" ht="15" customHeight="1" x14ac:dyDescent="0.2">
      <c r="A149" s="2">
        <v>44826</v>
      </c>
      <c r="C149" s="40" t="s">
        <v>162</v>
      </c>
      <c r="F149" s="3">
        <v>118489.8</v>
      </c>
      <c r="G149" s="4">
        <v>1778650387.8</v>
      </c>
      <c r="H149" s="3">
        <f t="shared" si="10"/>
        <v>-1973846.1500000004</v>
      </c>
      <c r="I149" s="4">
        <f t="shared" si="11"/>
        <v>-29144277584.469994</v>
      </c>
    </row>
    <row r="150" spans="1:12" ht="15" customHeight="1" x14ac:dyDescent="0.2">
      <c r="A150" s="2">
        <v>44826</v>
      </c>
      <c r="C150" s="40" t="s">
        <v>21</v>
      </c>
      <c r="F150" s="3">
        <v>15</v>
      </c>
      <c r="G150" s="4">
        <v>225165</v>
      </c>
      <c r="H150" s="3">
        <f t="shared" si="10"/>
        <v>-1973861.1500000004</v>
      </c>
      <c r="I150" s="4">
        <f t="shared" si="11"/>
        <v>-29144502749.469994</v>
      </c>
    </row>
    <row r="151" spans="1:12" ht="15" customHeight="1" x14ac:dyDescent="0.2">
      <c r="A151" s="2">
        <v>44826</v>
      </c>
      <c r="B151" s="2"/>
      <c r="C151" s="40" t="s">
        <v>96</v>
      </c>
      <c r="F151" s="31">
        <v>142728.70000000001</v>
      </c>
      <c r="G151" s="4">
        <v>2142500515.7</v>
      </c>
      <c r="H151" s="3">
        <f t="shared" ref="H151:H153" si="12">+H150+D151-F151</f>
        <v>-2116589.8500000006</v>
      </c>
      <c r="I151" s="4">
        <f t="shared" ref="I151:I153" si="13">+I150+E151-G151</f>
        <v>-31287003265.169994</v>
      </c>
    </row>
    <row r="152" spans="1:12" ht="15" customHeight="1" x14ac:dyDescent="0.2">
      <c r="A152" s="2">
        <v>44826</v>
      </c>
      <c r="B152" s="2"/>
      <c r="C152" s="40" t="s">
        <v>115</v>
      </c>
      <c r="F152" s="17">
        <v>6629.56</v>
      </c>
      <c r="G152" s="4">
        <v>99516325.159999996</v>
      </c>
      <c r="H152" s="3">
        <f t="shared" si="12"/>
        <v>-2123219.4100000006</v>
      </c>
      <c r="I152" s="4">
        <f t="shared" si="13"/>
        <v>-31386519590.329994</v>
      </c>
    </row>
    <row r="153" spans="1:12" ht="15" customHeight="1" x14ac:dyDescent="0.2">
      <c r="A153" s="2">
        <v>44826</v>
      </c>
      <c r="C153" s="40" t="s">
        <v>92</v>
      </c>
      <c r="F153" s="41">
        <v>42575.21</v>
      </c>
      <c r="G153" s="4">
        <v>639096477.30999994</v>
      </c>
      <c r="H153" s="3">
        <f t="shared" si="12"/>
        <v>-2165794.6200000006</v>
      </c>
      <c r="I153" s="4">
        <f t="shared" si="13"/>
        <v>-32025616067.639996</v>
      </c>
    </row>
    <row r="154" spans="1:12" ht="15" customHeight="1" x14ac:dyDescent="0.2">
      <c r="A154" s="2">
        <v>44826</v>
      </c>
      <c r="C154" s="40" t="s">
        <v>21</v>
      </c>
      <c r="F154" s="41">
        <v>50</v>
      </c>
      <c r="G154" s="4">
        <v>750550</v>
      </c>
      <c r="H154" s="3">
        <f t="shared" si="10"/>
        <v>-2165844.6200000006</v>
      </c>
      <c r="I154" s="4">
        <f t="shared" si="11"/>
        <v>-32026366617.639996</v>
      </c>
    </row>
    <row r="155" spans="1:12" ht="15" customHeight="1" x14ac:dyDescent="0.2">
      <c r="A155" s="2">
        <v>44827</v>
      </c>
      <c r="C155" s="40" t="s">
        <v>89</v>
      </c>
      <c r="D155" s="16">
        <v>39441.599999999999</v>
      </c>
      <c r="E155" s="4">
        <v>584800603.20000005</v>
      </c>
      <c r="H155" s="3">
        <f t="shared" si="10"/>
        <v>-2126403.0200000005</v>
      </c>
      <c r="I155" s="4">
        <f t="shared" si="11"/>
        <v>-31441566014.439995</v>
      </c>
    </row>
    <row r="156" spans="1:12" ht="15" customHeight="1" x14ac:dyDescent="0.2">
      <c r="A156" s="2">
        <v>44833</v>
      </c>
      <c r="C156" s="40" t="s">
        <v>90</v>
      </c>
      <c r="D156" s="3">
        <v>24536.9</v>
      </c>
      <c r="E156" s="4">
        <v>106992800.8</v>
      </c>
      <c r="H156" s="3">
        <f t="shared" si="10"/>
        <v>-2101866.1200000006</v>
      </c>
      <c r="I156" s="4">
        <f t="shared" si="11"/>
        <v>-31334573213.639996</v>
      </c>
    </row>
    <row r="157" spans="1:12" ht="15" customHeight="1" x14ac:dyDescent="0.2">
      <c r="A157" s="2">
        <v>44833</v>
      </c>
      <c r="C157" s="40" t="s">
        <v>79</v>
      </c>
      <c r="F157" s="41">
        <v>313439.96000000002</v>
      </c>
      <c r="G157" s="4">
        <v>4777765310.2800007</v>
      </c>
      <c r="H157" s="3">
        <f t="shared" si="10"/>
        <v>-2415306.0800000005</v>
      </c>
      <c r="I157" s="4">
        <f t="shared" si="11"/>
        <v>-36112338523.919998</v>
      </c>
    </row>
    <row r="158" spans="1:12" ht="15" customHeight="1" x14ac:dyDescent="0.2">
      <c r="A158" s="2">
        <v>44833</v>
      </c>
      <c r="C158" s="40" t="s">
        <v>21</v>
      </c>
      <c r="F158" s="41">
        <v>37</v>
      </c>
      <c r="G158" s="4">
        <v>563991</v>
      </c>
      <c r="H158" s="3">
        <f t="shared" si="10"/>
        <v>-2415343.0800000005</v>
      </c>
      <c r="I158" s="4">
        <f t="shared" si="11"/>
        <v>-36112902514.919998</v>
      </c>
    </row>
    <row r="159" spans="1:12" ht="15" customHeight="1" x14ac:dyDescent="0.2">
      <c r="A159" s="2">
        <v>44834</v>
      </c>
      <c r="C159" s="40" t="s">
        <v>93</v>
      </c>
      <c r="F159" s="41">
        <v>38368.400000000001</v>
      </c>
      <c r="G159" s="4">
        <v>585002994.79999995</v>
      </c>
      <c r="H159" s="3">
        <f t="shared" si="10"/>
        <v>-2453711.4800000004</v>
      </c>
      <c r="I159" s="4">
        <f t="shared" si="11"/>
        <v>-36697905509.720001</v>
      </c>
    </row>
    <row r="160" spans="1:12" ht="15" customHeight="1" x14ac:dyDescent="0.2">
      <c r="A160" s="2">
        <v>44834</v>
      </c>
      <c r="C160" s="40" t="s">
        <v>21</v>
      </c>
      <c r="F160" s="41">
        <v>17</v>
      </c>
      <c r="G160" s="4">
        <v>259199</v>
      </c>
      <c r="H160" s="6">
        <f t="shared" si="10"/>
        <v>-2453728.4800000004</v>
      </c>
      <c r="I160" s="7">
        <f t="shared" si="11"/>
        <v>-36698164708.720001</v>
      </c>
      <c r="J160" s="67"/>
    </row>
    <row r="161" spans="1:10" ht="15" customHeight="1" x14ac:dyDescent="0.2">
      <c r="A161" s="2">
        <v>44835</v>
      </c>
      <c r="C161" s="40" t="s">
        <v>114</v>
      </c>
      <c r="D161" s="31">
        <v>142728.70000000001</v>
      </c>
      <c r="E161" s="4">
        <v>2142500515.7</v>
      </c>
      <c r="F161" s="17"/>
      <c r="H161" s="3">
        <f t="shared" ref="H161:H162" si="14">+H160+D161-F161</f>
        <v>-2310999.7800000003</v>
      </c>
      <c r="I161" s="4">
        <f t="shared" ref="I161:I162" si="15">+I160+E161-G161</f>
        <v>-34555664193.020004</v>
      </c>
      <c r="J161" s="68"/>
    </row>
    <row r="162" spans="1:10" ht="15" customHeight="1" x14ac:dyDescent="0.2">
      <c r="A162" s="2">
        <v>44840</v>
      </c>
      <c r="C162" s="1" t="s">
        <v>96</v>
      </c>
      <c r="F162" s="3">
        <v>149957</v>
      </c>
      <c r="G162" s="4">
        <v>2278746572</v>
      </c>
      <c r="H162" s="3">
        <f t="shared" si="14"/>
        <v>-2460956.7800000003</v>
      </c>
      <c r="I162" s="4">
        <f t="shared" si="15"/>
        <v>-36834410765.020004</v>
      </c>
    </row>
    <row r="163" spans="1:10" ht="15" customHeight="1" x14ac:dyDescent="0.2">
      <c r="A163" s="2">
        <v>44840</v>
      </c>
      <c r="C163" s="1" t="s">
        <v>21</v>
      </c>
      <c r="F163" s="3">
        <v>43</v>
      </c>
      <c r="G163" s="4">
        <v>653428</v>
      </c>
      <c r="H163" s="3">
        <f t="shared" ref="H163:H180" si="16">+H162+D163-F163</f>
        <v>-2460999.7800000003</v>
      </c>
      <c r="I163" s="4">
        <f t="shared" ref="I163:I180" si="17">+I162+E163-G163</f>
        <v>-36835064193.020004</v>
      </c>
    </row>
    <row r="164" spans="1:10" ht="15" customHeight="1" x14ac:dyDescent="0.2">
      <c r="A164" s="2">
        <v>44840</v>
      </c>
      <c r="C164" s="1" t="s">
        <v>96</v>
      </c>
      <c r="F164" s="3">
        <v>120179.75</v>
      </c>
      <c r="G164" s="4">
        <v>1826251481</v>
      </c>
      <c r="H164" s="3">
        <f t="shared" si="16"/>
        <v>-2581179.5300000003</v>
      </c>
      <c r="I164" s="4">
        <f t="shared" si="17"/>
        <v>-38661315674.020004</v>
      </c>
    </row>
    <row r="165" spans="1:10" ht="15" customHeight="1" x14ac:dyDescent="0.2">
      <c r="A165" s="2">
        <v>44840</v>
      </c>
      <c r="C165" s="1" t="s">
        <v>96</v>
      </c>
      <c r="F165" s="14">
        <v>22866</v>
      </c>
      <c r="G165" s="4">
        <v>347471736</v>
      </c>
      <c r="H165" s="3">
        <f t="shared" ref="H165:H166" si="18">+H164+D165-F165</f>
        <v>-2604045.5300000003</v>
      </c>
      <c r="I165" s="4">
        <f t="shared" ref="I165:I166" si="19">+I164+E165-G165</f>
        <v>-39008787410.020004</v>
      </c>
    </row>
    <row r="166" spans="1:10" ht="15" customHeight="1" x14ac:dyDescent="0.2">
      <c r="A166" s="2">
        <v>44840</v>
      </c>
      <c r="C166" s="1" t="s">
        <v>21</v>
      </c>
      <c r="F166" s="3">
        <v>43</v>
      </c>
      <c r="G166" s="4">
        <v>653428</v>
      </c>
      <c r="H166" s="3">
        <f t="shared" si="18"/>
        <v>-2604088.5300000003</v>
      </c>
      <c r="I166" s="4">
        <f t="shared" si="19"/>
        <v>-39009440838.020004</v>
      </c>
    </row>
    <row r="167" spans="1:10" ht="15" customHeight="1" x14ac:dyDescent="0.2">
      <c r="A167" s="2">
        <v>44841</v>
      </c>
      <c r="C167" s="1" t="s">
        <v>97</v>
      </c>
      <c r="D167" s="3">
        <v>157124</v>
      </c>
      <c r="E167" s="4">
        <v>2289141127.2399998</v>
      </c>
      <c r="H167" s="3">
        <f t="shared" si="16"/>
        <v>-2446964.5300000003</v>
      </c>
      <c r="I167" s="4">
        <f t="shared" si="17"/>
        <v>-36720299710.780006</v>
      </c>
    </row>
    <row r="168" spans="1:10" ht="15" customHeight="1" x14ac:dyDescent="0.2">
      <c r="A168" s="2">
        <v>44861</v>
      </c>
      <c r="C168" s="1" t="s">
        <v>26</v>
      </c>
      <c r="F168" s="14">
        <v>14678</v>
      </c>
      <c r="G168" s="4">
        <v>228918088</v>
      </c>
      <c r="H168" s="3">
        <f t="shared" si="16"/>
        <v>-2461642.5300000003</v>
      </c>
      <c r="I168" s="4">
        <f t="shared" si="17"/>
        <v>-36949217798.780006</v>
      </c>
    </row>
    <row r="169" spans="1:10" ht="15" customHeight="1" x14ac:dyDescent="0.2">
      <c r="A169" s="2">
        <v>44861</v>
      </c>
      <c r="C169" s="1" t="s">
        <v>17</v>
      </c>
      <c r="F169" s="14">
        <v>42</v>
      </c>
      <c r="G169" s="4">
        <v>655032</v>
      </c>
      <c r="H169" s="3">
        <f t="shared" si="16"/>
        <v>-2461684.5300000003</v>
      </c>
      <c r="I169" s="4">
        <f t="shared" si="17"/>
        <v>-36949872830.780006</v>
      </c>
    </row>
    <row r="170" spans="1:10" ht="15" customHeight="1" x14ac:dyDescent="0.2">
      <c r="A170" s="2">
        <v>44861</v>
      </c>
      <c r="C170" s="1" t="s">
        <v>26</v>
      </c>
      <c r="F170" s="14">
        <v>14678</v>
      </c>
      <c r="G170" s="4">
        <v>228918088</v>
      </c>
      <c r="H170" s="3">
        <f t="shared" si="16"/>
        <v>-2476362.5300000003</v>
      </c>
      <c r="I170" s="4">
        <f t="shared" si="17"/>
        <v>-37178790918.780006</v>
      </c>
    </row>
    <row r="171" spans="1:10" ht="15" customHeight="1" x14ac:dyDescent="0.2">
      <c r="A171" s="2">
        <v>44861</v>
      </c>
      <c r="C171" s="1" t="s">
        <v>17</v>
      </c>
      <c r="F171" s="14">
        <v>42</v>
      </c>
      <c r="G171" s="4">
        <v>655032</v>
      </c>
      <c r="H171" s="3">
        <f t="shared" si="16"/>
        <v>-2476404.5300000003</v>
      </c>
      <c r="I171" s="4">
        <f t="shared" si="17"/>
        <v>-37179445950.780006</v>
      </c>
    </row>
    <row r="172" spans="1:10" ht="15" customHeight="1" x14ac:dyDescent="0.2">
      <c r="A172" s="2">
        <v>44861</v>
      </c>
      <c r="C172" s="1" t="s">
        <v>26</v>
      </c>
      <c r="F172" s="14">
        <v>15078</v>
      </c>
      <c r="G172" s="4">
        <v>235156488</v>
      </c>
      <c r="H172" s="3">
        <f t="shared" si="16"/>
        <v>-2491482.5300000003</v>
      </c>
      <c r="I172" s="4">
        <f t="shared" si="17"/>
        <v>-37414602438.780006</v>
      </c>
    </row>
    <row r="173" spans="1:10" ht="15" customHeight="1" x14ac:dyDescent="0.2">
      <c r="A173" s="2">
        <v>44861</v>
      </c>
      <c r="C173" s="1" t="s">
        <v>17</v>
      </c>
      <c r="F173" s="14">
        <v>42</v>
      </c>
      <c r="G173" s="4">
        <v>655032</v>
      </c>
      <c r="H173" s="3">
        <f t="shared" si="16"/>
        <v>-2491524.5300000003</v>
      </c>
      <c r="I173" s="4">
        <f t="shared" si="17"/>
        <v>-37415257470.780006</v>
      </c>
    </row>
    <row r="174" spans="1:10" ht="15" customHeight="1" x14ac:dyDescent="0.2">
      <c r="A174" s="2">
        <v>44846</v>
      </c>
      <c r="C174" s="1" t="s">
        <v>98</v>
      </c>
      <c r="D174" s="41">
        <v>724633.55</v>
      </c>
      <c r="E174" s="4">
        <v>10855010579</v>
      </c>
      <c r="H174" s="3">
        <f t="shared" si="16"/>
        <v>-1766890.9800000002</v>
      </c>
      <c r="I174" s="4">
        <f t="shared" si="17"/>
        <v>-26560246891.780006</v>
      </c>
    </row>
    <row r="175" spans="1:10" ht="15" customHeight="1" x14ac:dyDescent="0.2">
      <c r="A175" s="2">
        <v>44854</v>
      </c>
      <c r="C175" s="1" t="s">
        <v>99</v>
      </c>
      <c r="D175" s="41">
        <v>217087.76</v>
      </c>
      <c r="E175" s="4">
        <v>3309068725.6799998</v>
      </c>
      <c r="H175" s="3">
        <f t="shared" si="16"/>
        <v>-1549803.2200000002</v>
      </c>
      <c r="I175" s="4">
        <f t="shared" si="17"/>
        <v>-23251178166.100006</v>
      </c>
    </row>
    <row r="176" spans="1:10" ht="15" customHeight="1" x14ac:dyDescent="0.2">
      <c r="A176" s="2">
        <v>44859</v>
      </c>
      <c r="C176" s="1" t="s">
        <v>99</v>
      </c>
      <c r="D176" s="41">
        <v>96389.2</v>
      </c>
      <c r="E176" s="4">
        <v>1469260575.5999999</v>
      </c>
      <c r="H176" s="3">
        <f t="shared" si="16"/>
        <v>-1453414.0200000003</v>
      </c>
      <c r="I176" s="4">
        <f t="shared" si="17"/>
        <v>-21781917590.500008</v>
      </c>
    </row>
    <row r="177" spans="1:12" ht="15" customHeight="1" x14ac:dyDescent="0.2">
      <c r="A177" s="2">
        <v>44847</v>
      </c>
      <c r="C177" s="1" t="s">
        <v>79</v>
      </c>
      <c r="F177" s="65">
        <v>222479.45</v>
      </c>
      <c r="G177" s="4">
        <v>3420176584.8499999</v>
      </c>
      <c r="H177" s="3">
        <f t="shared" si="16"/>
        <v>-1675893.4700000002</v>
      </c>
      <c r="I177" s="4">
        <f t="shared" si="17"/>
        <v>-25202094175.350006</v>
      </c>
    </row>
    <row r="178" spans="1:12" ht="15" customHeight="1" x14ac:dyDescent="0.2">
      <c r="A178" s="2">
        <v>44847</v>
      </c>
      <c r="C178" s="1" t="s">
        <v>17</v>
      </c>
      <c r="F178" s="65">
        <v>25</v>
      </c>
      <c r="G178" s="4">
        <v>384325</v>
      </c>
      <c r="H178" s="3">
        <f t="shared" si="16"/>
        <v>-1675918.4700000002</v>
      </c>
      <c r="I178" s="4">
        <f t="shared" si="17"/>
        <v>-25202478500.350006</v>
      </c>
    </row>
    <row r="179" spans="1:12" ht="15" customHeight="1" x14ac:dyDescent="0.2">
      <c r="A179" s="2">
        <v>44865</v>
      </c>
      <c r="C179" s="1" t="s">
        <v>79</v>
      </c>
      <c r="F179" s="66">
        <v>182688.3</v>
      </c>
      <c r="G179" s="4">
        <v>2839341558.5999999</v>
      </c>
      <c r="H179" s="3">
        <f t="shared" si="16"/>
        <v>-1858606.7700000003</v>
      </c>
      <c r="I179" s="4">
        <f t="shared" si="17"/>
        <v>-28041820058.950005</v>
      </c>
    </row>
    <row r="180" spans="1:12" ht="15" customHeight="1" x14ac:dyDescent="0.2">
      <c r="A180" s="2">
        <v>44865</v>
      </c>
      <c r="C180" s="1" t="s">
        <v>17</v>
      </c>
      <c r="F180" s="66">
        <v>25</v>
      </c>
      <c r="G180" s="4">
        <v>388550</v>
      </c>
      <c r="H180" s="3">
        <f t="shared" si="16"/>
        <v>-1858631.7700000003</v>
      </c>
      <c r="I180" s="4">
        <f t="shared" si="17"/>
        <v>-28042208608.950005</v>
      </c>
    </row>
    <row r="181" spans="1:12" ht="15" customHeight="1" x14ac:dyDescent="0.2">
      <c r="A181" s="2">
        <v>44854</v>
      </c>
      <c r="C181" s="1" t="s">
        <v>96</v>
      </c>
      <c r="F181" s="3">
        <v>214262.87</v>
      </c>
      <c r="G181" s="4">
        <v>3319146119.1700001</v>
      </c>
      <c r="H181" s="3">
        <f t="shared" ref="H181:H185" si="20">+H180+D181-F181</f>
        <v>-2072894.6400000001</v>
      </c>
      <c r="I181" s="4">
        <f t="shared" ref="I181:I185" si="21">+I180+E181-G181</f>
        <v>-31361354728.120003</v>
      </c>
    </row>
    <row r="182" spans="1:12" ht="15" customHeight="1" x14ac:dyDescent="0.2">
      <c r="A182" s="2">
        <v>44854</v>
      </c>
      <c r="C182" s="1" t="s">
        <v>17</v>
      </c>
      <c r="F182" s="3">
        <v>43</v>
      </c>
      <c r="G182" s="4">
        <v>666113</v>
      </c>
      <c r="H182" s="3">
        <f t="shared" si="20"/>
        <v>-2072937.6400000001</v>
      </c>
      <c r="I182" s="4">
        <f t="shared" si="21"/>
        <v>-31362020841.120003</v>
      </c>
    </row>
    <row r="183" spans="1:12" ht="15" customHeight="1" x14ac:dyDescent="0.2">
      <c r="A183" s="2">
        <v>44862</v>
      </c>
      <c r="C183" s="1" t="s">
        <v>100</v>
      </c>
      <c r="D183" s="41">
        <v>39913.599999999999</v>
      </c>
      <c r="E183" s="4">
        <v>593715199.13999999</v>
      </c>
      <c r="H183" s="3">
        <f t="shared" si="20"/>
        <v>-2033024.04</v>
      </c>
      <c r="I183" s="4">
        <f t="shared" si="21"/>
        <v>-30768305641.980003</v>
      </c>
    </row>
    <row r="184" spans="1:12" ht="15" customHeight="1" x14ac:dyDescent="0.2">
      <c r="A184" s="2">
        <v>44840</v>
      </c>
      <c r="C184" s="1" t="s">
        <v>101</v>
      </c>
      <c r="D184" s="41">
        <v>62995</v>
      </c>
      <c r="E184" s="4">
        <v>916487904.25999999</v>
      </c>
      <c r="H184" s="3">
        <f t="shared" si="20"/>
        <v>-1970029.04</v>
      </c>
      <c r="I184" s="4">
        <f t="shared" si="21"/>
        <v>-29851817737.720005</v>
      </c>
    </row>
    <row r="185" spans="1:12" ht="15" customHeight="1" x14ac:dyDescent="0.2">
      <c r="A185" s="2">
        <v>44847</v>
      </c>
      <c r="C185" s="1" t="s">
        <v>179</v>
      </c>
      <c r="F185" s="14">
        <v>172240.8</v>
      </c>
      <c r="G185" s="4">
        <v>2647857818.4000001</v>
      </c>
      <c r="H185" s="3">
        <f t="shared" si="20"/>
        <v>-2142269.84</v>
      </c>
      <c r="I185" s="4">
        <f t="shared" si="21"/>
        <v>-32499675556.120007</v>
      </c>
    </row>
    <row r="186" spans="1:12" ht="15" customHeight="1" x14ac:dyDescent="0.2">
      <c r="A186" s="2">
        <v>44847</v>
      </c>
      <c r="C186" s="1" t="s">
        <v>17</v>
      </c>
      <c r="F186" s="14">
        <v>30</v>
      </c>
      <c r="G186" s="4">
        <v>461190</v>
      </c>
      <c r="H186" s="3">
        <f t="shared" ref="H186" si="22">+H185+D186-F186</f>
        <v>-2142299.84</v>
      </c>
      <c r="I186" s="4">
        <f t="shared" ref="I186" si="23">+I185+E186-G186</f>
        <v>-32500136746.120007</v>
      </c>
    </row>
    <row r="187" spans="1:12" ht="15" customHeight="1" x14ac:dyDescent="0.2">
      <c r="A187" s="2">
        <v>44841</v>
      </c>
      <c r="C187" s="1" t="s">
        <v>102</v>
      </c>
      <c r="D187" s="41">
        <v>55434.7</v>
      </c>
      <c r="E187" s="4">
        <v>838853482</v>
      </c>
      <c r="H187" s="3">
        <f t="shared" ref="H187:H188" si="24">+H186+D187-F187</f>
        <v>-2086865.14</v>
      </c>
      <c r="I187" s="4">
        <f t="shared" ref="I187:I188" si="25">+I186+E187-G187</f>
        <v>-31661283264.120007</v>
      </c>
    </row>
    <row r="188" spans="1:12" ht="15" customHeight="1" x14ac:dyDescent="0.2">
      <c r="A188" s="2">
        <v>44837</v>
      </c>
      <c r="C188" s="1" t="s">
        <v>103</v>
      </c>
      <c r="D188" s="41">
        <v>57249.21</v>
      </c>
      <c r="E188" s="4">
        <f>215572530.24+639847027.31</f>
        <v>855419557.54999995</v>
      </c>
      <c r="H188" s="3">
        <f t="shared" si="24"/>
        <v>-2029615.93</v>
      </c>
      <c r="I188" s="4">
        <f t="shared" si="25"/>
        <v>-30805863706.570007</v>
      </c>
    </row>
    <row r="189" spans="1:12" ht="15" customHeight="1" x14ac:dyDescent="0.2">
      <c r="A189" s="2">
        <v>44862</v>
      </c>
      <c r="C189" s="1" t="s">
        <v>104</v>
      </c>
      <c r="D189" s="41">
        <v>26294.400000000001</v>
      </c>
      <c r="E189" s="4">
        <v>390761078.39999998</v>
      </c>
      <c r="H189" s="3">
        <f t="shared" ref="H189:H190" si="26">+H188+D189-F189</f>
        <v>-2003321.53</v>
      </c>
      <c r="I189" s="4">
        <f t="shared" ref="I189:I190" si="27">+I188+E189-G189</f>
        <v>-30415102628.170006</v>
      </c>
    </row>
    <row r="190" spans="1:12" ht="15" customHeight="1" x14ac:dyDescent="0.2">
      <c r="A190" s="2">
        <v>44845</v>
      </c>
      <c r="C190" s="1" t="s">
        <v>129</v>
      </c>
      <c r="D190" s="3">
        <f>40000+10000</f>
        <v>50000</v>
      </c>
      <c r="E190" s="4">
        <f>574920400+148020000</f>
        <v>722940400</v>
      </c>
      <c r="H190" s="6">
        <f t="shared" si="26"/>
        <v>-1953321.53</v>
      </c>
      <c r="I190" s="7">
        <f t="shared" si="27"/>
        <v>-29692162228.170006</v>
      </c>
      <c r="J190" s="67"/>
    </row>
    <row r="191" spans="1:12" ht="15" customHeight="1" x14ac:dyDescent="0.2">
      <c r="J191" s="70"/>
    </row>
    <row r="192" spans="1:12" s="43" customFormat="1" ht="15" customHeight="1" x14ac:dyDescent="0.2">
      <c r="A192" s="42">
        <v>44868</v>
      </c>
      <c r="C192" s="43" t="s">
        <v>107</v>
      </c>
      <c r="D192" s="44">
        <v>103000</v>
      </c>
      <c r="E192" s="45">
        <f>292400301.6+1250104071.2</f>
        <v>1542504372.8000002</v>
      </c>
      <c r="F192" s="44"/>
      <c r="G192" s="45"/>
      <c r="H192" s="44">
        <f>+H190+D192-F192</f>
        <v>-1850321.53</v>
      </c>
      <c r="I192" s="45">
        <f>+I190+E192-G192</f>
        <v>-28149657855.370007</v>
      </c>
      <c r="K192" s="44"/>
      <c r="L192" s="45"/>
    </row>
    <row r="193" spans="1:12" s="43" customFormat="1" ht="15" customHeight="1" x14ac:dyDescent="0.2">
      <c r="A193" s="42">
        <v>44882</v>
      </c>
      <c r="C193" s="43" t="s">
        <v>106</v>
      </c>
      <c r="D193" s="44">
        <f>45086+10000</f>
        <v>55086</v>
      </c>
      <c r="E193" s="45">
        <f>676785946+150110000</f>
        <v>826895946</v>
      </c>
      <c r="F193" s="44"/>
      <c r="G193" s="45"/>
      <c r="H193" s="44">
        <f>+H192+D193-F193</f>
        <v>-1795235.53</v>
      </c>
      <c r="I193" s="45">
        <f>+I192+E193-G193</f>
        <v>-27322761909.370007</v>
      </c>
      <c r="K193" s="44"/>
      <c r="L193" s="45"/>
    </row>
    <row r="194" spans="1:12" s="43" customFormat="1" ht="15" customHeight="1" x14ac:dyDescent="0.2">
      <c r="A194" s="42">
        <v>44894</v>
      </c>
      <c r="C194" s="43" t="s">
        <v>106</v>
      </c>
      <c r="D194" s="44">
        <v>20000</v>
      </c>
      <c r="E194" s="45">
        <v>300220000</v>
      </c>
      <c r="F194" s="44"/>
      <c r="G194" s="45"/>
      <c r="H194" s="44">
        <f t="shared" ref="H194:H202" si="28">+H193+D194-F194</f>
        <v>-1775235.53</v>
      </c>
      <c r="I194" s="45">
        <f t="shared" ref="I194:I202" si="29">+I193+E194-G194</f>
        <v>-27022541909.370007</v>
      </c>
      <c r="K194" s="44"/>
      <c r="L194" s="45"/>
    </row>
    <row r="195" spans="1:12" ht="15" customHeight="1" x14ac:dyDescent="0.2">
      <c r="A195" s="2">
        <v>44876</v>
      </c>
      <c r="C195" s="1" t="s">
        <v>86</v>
      </c>
      <c r="F195" s="23">
        <v>52558.8</v>
      </c>
      <c r="G195" s="4">
        <v>825225718.79999995</v>
      </c>
      <c r="H195" s="3">
        <f t="shared" si="28"/>
        <v>-1827794.33</v>
      </c>
      <c r="I195" s="4">
        <f t="shared" si="29"/>
        <v>-27847767628.170006</v>
      </c>
    </row>
    <row r="196" spans="1:12" ht="15" customHeight="1" x14ac:dyDescent="0.2">
      <c r="A196" s="2">
        <v>44876</v>
      </c>
      <c r="C196" s="1" t="s">
        <v>21</v>
      </c>
      <c r="F196" s="23">
        <v>30</v>
      </c>
      <c r="G196" s="4">
        <v>471030</v>
      </c>
      <c r="H196" s="3">
        <f t="shared" si="28"/>
        <v>-1827824.33</v>
      </c>
      <c r="I196" s="4">
        <f t="shared" si="29"/>
        <v>-27848238658.170006</v>
      </c>
    </row>
    <row r="197" spans="1:12" ht="15" customHeight="1" x14ac:dyDescent="0.2">
      <c r="A197" s="2">
        <v>44868</v>
      </c>
      <c r="C197" s="1" t="s">
        <v>79</v>
      </c>
      <c r="F197" s="44">
        <v>166769.75</v>
      </c>
      <c r="G197" s="4">
        <v>2610280127</v>
      </c>
      <c r="H197" s="3">
        <f t="shared" si="28"/>
        <v>-1994594.08</v>
      </c>
      <c r="I197" s="4">
        <f t="shared" si="29"/>
        <v>-30458518785.170006</v>
      </c>
    </row>
    <row r="198" spans="1:12" ht="15" customHeight="1" x14ac:dyDescent="0.2">
      <c r="A198" s="2">
        <v>44868</v>
      </c>
      <c r="C198" s="1" t="s">
        <v>21</v>
      </c>
      <c r="F198" s="44">
        <v>20</v>
      </c>
      <c r="G198" s="4">
        <v>313040</v>
      </c>
      <c r="H198" s="3">
        <f t="shared" si="28"/>
        <v>-1994614.08</v>
      </c>
      <c r="I198" s="4">
        <f t="shared" si="29"/>
        <v>-30458831825.170006</v>
      </c>
    </row>
    <row r="199" spans="1:12" ht="15" customHeight="1" x14ac:dyDescent="0.2">
      <c r="A199" s="2">
        <v>44888</v>
      </c>
      <c r="C199" s="1" t="s">
        <v>116</v>
      </c>
      <c r="D199" s="14">
        <v>50000</v>
      </c>
      <c r="E199" s="4">
        <v>768650000</v>
      </c>
      <c r="H199" s="3">
        <f t="shared" si="28"/>
        <v>-1944614.08</v>
      </c>
      <c r="I199" s="4">
        <f t="shared" si="29"/>
        <v>-29690181825.170006</v>
      </c>
    </row>
    <row r="200" spans="1:12" ht="15" customHeight="1" x14ac:dyDescent="0.2">
      <c r="A200" s="2">
        <v>44879</v>
      </c>
      <c r="C200" s="1" t="s">
        <v>26</v>
      </c>
      <c r="F200" s="3">
        <v>75018</v>
      </c>
      <c r="G200" s="4">
        <v>1162253874</v>
      </c>
      <c r="H200" s="3">
        <f t="shared" si="28"/>
        <v>-2019632.08</v>
      </c>
      <c r="I200" s="4">
        <f t="shared" si="29"/>
        <v>-30852435699.170006</v>
      </c>
    </row>
    <row r="201" spans="1:12" ht="15" customHeight="1" x14ac:dyDescent="0.2">
      <c r="A201" s="2">
        <v>44879</v>
      </c>
      <c r="C201" s="1" t="s">
        <v>17</v>
      </c>
      <c r="F201" s="3">
        <v>42</v>
      </c>
      <c r="G201" s="4">
        <v>650706</v>
      </c>
      <c r="H201" s="3">
        <f t="shared" si="28"/>
        <v>-2019674.08</v>
      </c>
      <c r="I201" s="4">
        <f t="shared" si="29"/>
        <v>-30853086405.170006</v>
      </c>
    </row>
    <row r="202" spans="1:12" ht="15" customHeight="1" x14ac:dyDescent="0.2">
      <c r="A202" s="2">
        <v>44895</v>
      </c>
      <c r="C202" s="1" t="s">
        <v>121</v>
      </c>
      <c r="D202" s="65">
        <v>222504.45</v>
      </c>
      <c r="E202" s="4">
        <v>3420560909.8499999</v>
      </c>
      <c r="H202" s="6">
        <f t="shared" si="28"/>
        <v>-1797169.6300000001</v>
      </c>
      <c r="I202" s="7">
        <f t="shared" si="29"/>
        <v>-27432525495.320007</v>
      </c>
    </row>
    <row r="204" spans="1:12" ht="15" customHeight="1" x14ac:dyDescent="0.2">
      <c r="A204" s="2">
        <v>44907</v>
      </c>
      <c r="C204" s="1" t="s">
        <v>109</v>
      </c>
      <c r="D204" s="3">
        <v>138155.48000000001</v>
      </c>
      <c r="E204" s="4">
        <v>1991925710.6400001</v>
      </c>
      <c r="H204" s="3">
        <f>+H202+D204-F204</f>
        <v>-1659014.1500000001</v>
      </c>
      <c r="I204" s="4">
        <f>+I202+E204-G204</f>
        <v>-25440599784.680008</v>
      </c>
    </row>
    <row r="205" spans="1:12" ht="15" customHeight="1" x14ac:dyDescent="0.2">
      <c r="A205" s="2">
        <v>44910</v>
      </c>
      <c r="C205" s="1" t="s">
        <v>116</v>
      </c>
      <c r="D205" s="14">
        <v>50000</v>
      </c>
      <c r="E205" s="4">
        <v>768650000</v>
      </c>
      <c r="H205" s="3">
        <f>+H204+D205-F205</f>
        <v>-1609014.1500000001</v>
      </c>
      <c r="I205" s="4">
        <f>+I204+E205-G205</f>
        <v>-24671949784.680008</v>
      </c>
    </row>
    <row r="206" spans="1:12" ht="15" customHeight="1" x14ac:dyDescent="0.2">
      <c r="A206" s="2">
        <v>44923</v>
      </c>
      <c r="C206" s="1" t="s">
        <v>116</v>
      </c>
      <c r="D206" s="14">
        <v>30000</v>
      </c>
      <c r="E206" s="4">
        <v>461190000</v>
      </c>
      <c r="H206" s="3">
        <f t="shared" ref="H206:H221" si="30">+H205+D206-F206</f>
        <v>-1579014.1500000001</v>
      </c>
      <c r="I206" s="4">
        <f t="shared" ref="I206:I222" si="31">+I205+E206-G206</f>
        <v>-24210759784.680008</v>
      </c>
    </row>
    <row r="207" spans="1:12" ht="15" customHeight="1" x14ac:dyDescent="0.2">
      <c r="A207" s="2">
        <v>44902</v>
      </c>
      <c r="C207" s="1" t="s">
        <v>117</v>
      </c>
      <c r="D207" s="3">
        <v>47000</v>
      </c>
      <c r="E207" s="4">
        <v>705517000</v>
      </c>
      <c r="H207" s="3">
        <f t="shared" si="30"/>
        <v>-1532014.1500000001</v>
      </c>
      <c r="I207" s="4">
        <f t="shared" si="31"/>
        <v>-23505242784.680008</v>
      </c>
    </row>
    <row r="208" spans="1:12" ht="15" customHeight="1" x14ac:dyDescent="0.2">
      <c r="A208" s="2">
        <v>44923</v>
      </c>
      <c r="C208" s="1" t="s">
        <v>119</v>
      </c>
      <c r="D208" s="23">
        <v>13000</v>
      </c>
      <c r="E208" s="4">
        <v>204113000</v>
      </c>
      <c r="H208" s="3">
        <f t="shared" si="30"/>
        <v>-1519014.1500000001</v>
      </c>
      <c r="I208" s="4">
        <f t="shared" si="31"/>
        <v>-23301129784.680008</v>
      </c>
    </row>
    <row r="209" spans="1:9" ht="15" customHeight="1" x14ac:dyDescent="0.2">
      <c r="A209" s="2">
        <v>44923</v>
      </c>
      <c r="C209" s="1" t="s">
        <v>117</v>
      </c>
      <c r="D209" s="3">
        <v>10000</v>
      </c>
      <c r="E209" s="4">
        <v>150110000</v>
      </c>
      <c r="H209" s="3">
        <f t="shared" si="30"/>
        <v>-1509014.1500000001</v>
      </c>
      <c r="I209" s="4">
        <f t="shared" si="31"/>
        <v>-23151019784.680008</v>
      </c>
    </row>
    <row r="210" spans="1:9" ht="15" customHeight="1" x14ac:dyDescent="0.2">
      <c r="A210" s="2">
        <v>44908</v>
      </c>
      <c r="C210" s="1" t="s">
        <v>187</v>
      </c>
      <c r="F210" s="95">
        <v>119970.6</v>
      </c>
      <c r="G210" s="96">
        <v>1876580125.2</v>
      </c>
      <c r="H210" s="3">
        <f t="shared" si="30"/>
        <v>-1628984.7500000002</v>
      </c>
      <c r="I210" s="4">
        <f t="shared" si="31"/>
        <v>-25027599909.880009</v>
      </c>
    </row>
    <row r="211" spans="1:9" ht="15" customHeight="1" x14ac:dyDescent="0.2">
      <c r="A211" s="2">
        <v>44908</v>
      </c>
      <c r="C211" s="1" t="s">
        <v>21</v>
      </c>
      <c r="F211" s="95">
        <v>30</v>
      </c>
      <c r="G211" s="96">
        <v>469260</v>
      </c>
      <c r="H211" s="3">
        <f t="shared" si="30"/>
        <v>-1629014.7500000002</v>
      </c>
      <c r="I211" s="4">
        <f t="shared" si="31"/>
        <v>-25028069169.880009</v>
      </c>
    </row>
    <row r="212" spans="1:9" ht="15" customHeight="1" x14ac:dyDescent="0.2">
      <c r="A212" s="2">
        <v>44909</v>
      </c>
      <c r="C212" s="1" t="s">
        <v>120</v>
      </c>
      <c r="D212" s="44">
        <v>166789.75</v>
      </c>
      <c r="E212" s="4">
        <v>2610593167</v>
      </c>
      <c r="H212" s="3">
        <f t="shared" si="30"/>
        <v>-1462225.0000000002</v>
      </c>
      <c r="I212" s="4">
        <f t="shared" si="31"/>
        <v>-22417476002.880009</v>
      </c>
    </row>
    <row r="213" spans="1:9" ht="15" customHeight="1" x14ac:dyDescent="0.2">
      <c r="A213" s="2">
        <v>44909</v>
      </c>
      <c r="C213" s="1" t="s">
        <v>122</v>
      </c>
      <c r="D213" s="66">
        <v>182713.3</v>
      </c>
      <c r="E213" s="4">
        <v>2839730108.5999999</v>
      </c>
      <c r="H213" s="3">
        <f t="shared" si="30"/>
        <v>-1279511.7000000002</v>
      </c>
      <c r="I213" s="4">
        <f t="shared" si="31"/>
        <v>-19577745894.28001</v>
      </c>
    </row>
    <row r="214" spans="1:9" ht="15" customHeight="1" x14ac:dyDescent="0.2">
      <c r="A214" s="2">
        <v>44911</v>
      </c>
      <c r="C214" s="1" t="s">
        <v>124</v>
      </c>
      <c r="F214" s="3">
        <v>21460</v>
      </c>
      <c r="G214" s="4">
        <v>335419800</v>
      </c>
      <c r="H214" s="3">
        <f t="shared" si="30"/>
        <v>-1300971.7000000002</v>
      </c>
      <c r="I214" s="4">
        <f t="shared" si="31"/>
        <v>-19913165694.28001</v>
      </c>
    </row>
    <row r="215" spans="1:9" ht="15" customHeight="1" x14ac:dyDescent="0.2">
      <c r="A215" s="2">
        <v>44911</v>
      </c>
      <c r="C215" s="1" t="s">
        <v>17</v>
      </c>
      <c r="F215" s="3">
        <v>188.2</v>
      </c>
      <c r="G215" s="4">
        <v>2941566</v>
      </c>
      <c r="H215" s="3">
        <f t="shared" si="30"/>
        <v>-1301159.9000000001</v>
      </c>
      <c r="I215" s="4">
        <f t="shared" si="31"/>
        <v>-19916107260.28001</v>
      </c>
    </row>
    <row r="216" spans="1:9" ht="15" customHeight="1" x14ac:dyDescent="0.2">
      <c r="A216" s="2">
        <v>44901</v>
      </c>
      <c r="C216" s="1" t="s">
        <v>39</v>
      </c>
      <c r="F216" s="18">
        <v>14761.5</v>
      </c>
      <c r="G216" s="4">
        <v>227459953.5</v>
      </c>
      <c r="H216" s="3">
        <f t="shared" si="30"/>
        <v>-1315921.4000000001</v>
      </c>
      <c r="I216" s="4">
        <f t="shared" si="31"/>
        <v>-20143567213.78001</v>
      </c>
    </row>
    <row r="217" spans="1:9" ht="15" customHeight="1" x14ac:dyDescent="0.2">
      <c r="A217" s="2">
        <v>44901</v>
      </c>
      <c r="C217" s="1" t="s">
        <v>39</v>
      </c>
      <c r="F217" s="18">
        <v>14761.5</v>
      </c>
      <c r="G217" s="4">
        <v>227459953.5</v>
      </c>
      <c r="H217" s="3">
        <f t="shared" si="30"/>
        <v>-1330682.9000000001</v>
      </c>
      <c r="I217" s="4">
        <f t="shared" si="31"/>
        <v>-20371027167.28001</v>
      </c>
    </row>
    <row r="218" spans="1:9" ht="15" customHeight="1" x14ac:dyDescent="0.2">
      <c r="A218" s="2">
        <v>44901</v>
      </c>
      <c r="C218" s="1" t="s">
        <v>39</v>
      </c>
      <c r="F218" s="3">
        <v>14761.5</v>
      </c>
      <c r="G218" s="4">
        <v>227459953.5</v>
      </c>
      <c r="H218" s="3">
        <f t="shared" si="30"/>
        <v>-1345444.4000000001</v>
      </c>
      <c r="I218" s="4">
        <f t="shared" si="31"/>
        <v>-20598487120.78001</v>
      </c>
    </row>
    <row r="219" spans="1:9" ht="15" customHeight="1" x14ac:dyDescent="0.2">
      <c r="A219" s="2">
        <v>44901</v>
      </c>
      <c r="C219" s="1" t="s">
        <v>39</v>
      </c>
      <c r="F219" s="3">
        <v>14761.5</v>
      </c>
      <c r="G219" s="4">
        <v>227459953.5</v>
      </c>
      <c r="H219" s="3">
        <f t="shared" si="30"/>
        <v>-1360205.9000000001</v>
      </c>
      <c r="I219" s="4">
        <f t="shared" si="31"/>
        <v>-20825947074.28001</v>
      </c>
    </row>
    <row r="220" spans="1:9" ht="15" customHeight="1" x14ac:dyDescent="0.2">
      <c r="A220" s="2">
        <v>44901</v>
      </c>
      <c r="C220" s="1" t="s">
        <v>17</v>
      </c>
      <c r="F220" s="3">
        <v>42</v>
      </c>
      <c r="G220" s="4">
        <v>647178</v>
      </c>
      <c r="H220" s="3">
        <f t="shared" si="30"/>
        <v>-1360247.9000000001</v>
      </c>
      <c r="I220" s="4">
        <f t="shared" si="31"/>
        <v>-20826594252.28001</v>
      </c>
    </row>
    <row r="221" spans="1:9" ht="15" customHeight="1" x14ac:dyDescent="0.2">
      <c r="A221" s="2">
        <v>44908</v>
      </c>
      <c r="C221" s="1" t="s">
        <v>227</v>
      </c>
      <c r="F221" s="3">
        <v>79610.399999999994</v>
      </c>
      <c r="G221" s="4">
        <v>1245265876.8</v>
      </c>
      <c r="H221" s="3">
        <f t="shared" si="30"/>
        <v>-1439858.3</v>
      </c>
      <c r="I221" s="4">
        <f t="shared" si="31"/>
        <v>-22071860129.080009</v>
      </c>
    </row>
    <row r="222" spans="1:9" ht="15" customHeight="1" x14ac:dyDescent="0.2">
      <c r="A222" s="2">
        <v>44908</v>
      </c>
      <c r="C222" s="1" t="s">
        <v>17</v>
      </c>
      <c r="F222" s="3">
        <v>30</v>
      </c>
      <c r="G222" s="4">
        <v>469260</v>
      </c>
      <c r="H222" s="6">
        <f>+H221+D222-F222</f>
        <v>-1439888.3</v>
      </c>
      <c r="I222" s="7">
        <f t="shared" si="31"/>
        <v>-22072329389.080009</v>
      </c>
    </row>
    <row r="224" spans="1:9" ht="15" customHeight="1" x14ac:dyDescent="0.2">
      <c r="C224" s="1" t="s">
        <v>9</v>
      </c>
      <c r="H224" s="3">
        <v>-1439888.3</v>
      </c>
      <c r="I224" s="4">
        <v>-22072329389.080009</v>
      </c>
    </row>
    <row r="225" spans="1:9" ht="15" customHeight="1" x14ac:dyDescent="0.2">
      <c r="A225" s="2">
        <v>44929</v>
      </c>
      <c r="C225" s="1" t="s">
        <v>39</v>
      </c>
      <c r="F225" s="3">
        <v>44674</v>
      </c>
      <c r="G225" s="4">
        <v>695663528</v>
      </c>
      <c r="H225" s="3">
        <f>+H224+D225-F225</f>
        <v>-1484562.3</v>
      </c>
      <c r="I225" s="4">
        <f>+I224+E225-G225</f>
        <v>-22767992917.080009</v>
      </c>
    </row>
    <row r="226" spans="1:9" ht="15" customHeight="1" x14ac:dyDescent="0.2">
      <c r="A226" s="2">
        <v>44929</v>
      </c>
      <c r="C226" s="1" t="s">
        <v>17</v>
      </c>
      <c r="F226" s="3">
        <v>42</v>
      </c>
      <c r="G226" s="4">
        <v>654024</v>
      </c>
      <c r="H226" s="3">
        <f t="shared" ref="H226:H238" si="32">+H225+D226-F226</f>
        <v>-1484604.3</v>
      </c>
      <c r="I226" s="4">
        <f t="shared" ref="I226:I238" si="33">+I225+E226-G226</f>
        <v>-22768646941.080009</v>
      </c>
    </row>
    <row r="227" spans="1:9" ht="15" customHeight="1" x14ac:dyDescent="0.2">
      <c r="A227" s="2">
        <v>44936</v>
      </c>
      <c r="C227" s="1" t="s">
        <v>155</v>
      </c>
      <c r="D227" s="3">
        <v>10000</v>
      </c>
      <c r="E227" s="4">
        <v>150110000</v>
      </c>
      <c r="H227" s="3">
        <f t="shared" si="32"/>
        <v>-1474604.3</v>
      </c>
      <c r="I227" s="4">
        <f t="shared" si="33"/>
        <v>-22618536941.080009</v>
      </c>
    </row>
    <row r="228" spans="1:9" ht="15" customHeight="1" x14ac:dyDescent="0.2">
      <c r="A228" s="2">
        <v>44936</v>
      </c>
      <c r="C228" s="1" t="s">
        <v>156</v>
      </c>
      <c r="D228" s="23">
        <v>10000</v>
      </c>
      <c r="E228" s="4">
        <v>157010000</v>
      </c>
      <c r="H228" s="3">
        <f t="shared" si="32"/>
        <v>-1464604.3</v>
      </c>
      <c r="I228" s="4">
        <f t="shared" si="33"/>
        <v>-22461526941.080009</v>
      </c>
    </row>
    <row r="229" spans="1:9" ht="15" customHeight="1" x14ac:dyDescent="0.2">
      <c r="A229" s="2">
        <v>44937</v>
      </c>
      <c r="C229" s="1" t="s">
        <v>39</v>
      </c>
      <c r="F229" s="3">
        <v>16891</v>
      </c>
      <c r="G229" s="4">
        <v>263313799</v>
      </c>
      <c r="H229" s="3">
        <f t="shared" si="32"/>
        <v>-1481495.3</v>
      </c>
      <c r="I229" s="4">
        <f t="shared" si="33"/>
        <v>-22724840740.080009</v>
      </c>
    </row>
    <row r="230" spans="1:9" ht="15" customHeight="1" x14ac:dyDescent="0.2">
      <c r="A230" s="2">
        <v>44937</v>
      </c>
      <c r="C230" s="1" t="s">
        <v>17</v>
      </c>
      <c r="F230" s="3">
        <v>27</v>
      </c>
      <c r="G230" s="4">
        <v>420903</v>
      </c>
      <c r="H230" s="3">
        <f t="shared" si="32"/>
        <v>-1481522.3</v>
      </c>
      <c r="I230" s="4">
        <f t="shared" si="33"/>
        <v>-22725261643.080009</v>
      </c>
    </row>
    <row r="231" spans="1:9" ht="15" customHeight="1" x14ac:dyDescent="0.2">
      <c r="A231" s="2">
        <v>44939</v>
      </c>
      <c r="C231" s="1" t="s">
        <v>238</v>
      </c>
      <c r="F231" s="147">
        <v>75138</v>
      </c>
      <c r="G231" s="146">
        <v>1154570508</v>
      </c>
      <c r="H231" s="3">
        <f t="shared" si="32"/>
        <v>-1556660.3</v>
      </c>
      <c r="I231" s="4">
        <f t="shared" si="33"/>
        <v>-23879832151.080009</v>
      </c>
    </row>
    <row r="232" spans="1:9" ht="15" customHeight="1" x14ac:dyDescent="0.2">
      <c r="A232" s="2">
        <v>44939</v>
      </c>
      <c r="C232" s="1" t="s">
        <v>17</v>
      </c>
      <c r="F232" s="147">
        <v>30</v>
      </c>
      <c r="G232" s="146">
        <v>460980</v>
      </c>
      <c r="H232" s="3">
        <f t="shared" si="32"/>
        <v>-1556690.3</v>
      </c>
      <c r="I232" s="4">
        <f t="shared" si="33"/>
        <v>-23880293131.080009</v>
      </c>
    </row>
    <row r="233" spans="1:9" ht="15" customHeight="1" x14ac:dyDescent="0.2">
      <c r="A233" s="2">
        <v>44939</v>
      </c>
      <c r="C233" s="1" t="s">
        <v>161</v>
      </c>
      <c r="D233" s="17">
        <v>49526.400000000001</v>
      </c>
      <c r="E233" s="32">
        <v>736705695.26400006</v>
      </c>
      <c r="H233" s="3">
        <f t="shared" si="32"/>
        <v>-1507163.9000000001</v>
      </c>
      <c r="I233" s="4">
        <f t="shared" si="33"/>
        <v>-23143587435.81601</v>
      </c>
    </row>
    <row r="234" spans="1:9" ht="15" customHeight="1" x14ac:dyDescent="0.2">
      <c r="A234" s="2">
        <v>44943</v>
      </c>
      <c r="C234" s="1" t="s">
        <v>157</v>
      </c>
      <c r="D234" s="92">
        <v>14720</v>
      </c>
      <c r="E234" s="25">
        <v>229573120</v>
      </c>
      <c r="H234" s="3">
        <f t="shared" si="32"/>
        <v>-1492443.9000000001</v>
      </c>
      <c r="I234" s="4">
        <f t="shared" si="33"/>
        <v>-22914014315.81601</v>
      </c>
    </row>
    <row r="235" spans="1:9" ht="15" customHeight="1" x14ac:dyDescent="0.2">
      <c r="A235" s="2">
        <v>44943</v>
      </c>
      <c r="C235" s="1" t="s">
        <v>157</v>
      </c>
      <c r="D235" s="92">
        <v>14720</v>
      </c>
      <c r="E235" s="25">
        <v>229573120</v>
      </c>
      <c r="H235" s="3">
        <f t="shared" si="32"/>
        <v>-1477723.9000000001</v>
      </c>
      <c r="I235" s="4">
        <f t="shared" si="33"/>
        <v>-22684441195.81601</v>
      </c>
    </row>
    <row r="236" spans="1:9" ht="15" customHeight="1" x14ac:dyDescent="0.2">
      <c r="A236" s="2">
        <v>44943</v>
      </c>
      <c r="C236" s="1" t="s">
        <v>157</v>
      </c>
      <c r="D236" s="92">
        <v>15120</v>
      </c>
      <c r="E236" s="73">
        <v>235811520</v>
      </c>
      <c r="H236" s="3">
        <f t="shared" si="32"/>
        <v>-1462603.9000000001</v>
      </c>
      <c r="I236" s="4">
        <f t="shared" si="33"/>
        <v>-22448629675.81601</v>
      </c>
    </row>
    <row r="237" spans="1:9" ht="15" customHeight="1" x14ac:dyDescent="0.2">
      <c r="A237" s="2">
        <v>44945</v>
      </c>
      <c r="C237" s="1" t="s">
        <v>158</v>
      </c>
      <c r="D237" s="23">
        <v>29558.799999999999</v>
      </c>
      <c r="E237" s="4">
        <v>464102718.80000001</v>
      </c>
      <c r="H237" s="3">
        <f t="shared" si="32"/>
        <v>-1433045.1</v>
      </c>
      <c r="I237" s="4">
        <f t="shared" si="33"/>
        <v>-21984526957.01601</v>
      </c>
    </row>
    <row r="238" spans="1:9" ht="15" customHeight="1" x14ac:dyDescent="0.2">
      <c r="A238" s="2">
        <v>44945</v>
      </c>
      <c r="C238" s="1" t="s">
        <v>17</v>
      </c>
      <c r="D238" s="23">
        <v>30</v>
      </c>
      <c r="E238" s="4">
        <v>471030</v>
      </c>
      <c r="H238" s="3">
        <f t="shared" si="32"/>
        <v>-1433015.1</v>
      </c>
      <c r="I238" s="4">
        <f t="shared" si="33"/>
        <v>-21984055927.01601</v>
      </c>
    </row>
    <row r="239" spans="1:9" ht="15" customHeight="1" x14ac:dyDescent="0.2">
      <c r="A239" s="2">
        <v>44946</v>
      </c>
      <c r="C239" s="1" t="s">
        <v>159</v>
      </c>
      <c r="D239" s="3">
        <v>15172</v>
      </c>
      <c r="E239" s="4">
        <v>235059796</v>
      </c>
      <c r="H239" s="3">
        <f t="shared" ref="H239" si="34">+H238+D239-F239</f>
        <v>-1417843.1</v>
      </c>
      <c r="I239" s="4">
        <f t="shared" ref="I239" si="35">+I238+E239-G239</f>
        <v>-21748996131.01601</v>
      </c>
    </row>
    <row r="240" spans="1:9" ht="15" customHeight="1" x14ac:dyDescent="0.2">
      <c r="A240" s="2">
        <v>44932</v>
      </c>
      <c r="C240" s="1" t="s">
        <v>463</v>
      </c>
      <c r="D240" s="3">
        <v>10000</v>
      </c>
      <c r="E240" s="4">
        <v>143540000</v>
      </c>
      <c r="H240" s="3">
        <f t="shared" ref="H240:H241" si="36">+H239+D240-F240</f>
        <v>-1407843.1</v>
      </c>
      <c r="I240" s="4">
        <f t="shared" ref="I240:I241" si="37">+I239+E240-G240</f>
        <v>-21605456131.01601</v>
      </c>
    </row>
    <row r="241" spans="1:9" ht="15" customHeight="1" x14ac:dyDescent="0.2">
      <c r="A241" s="2">
        <v>44928</v>
      </c>
      <c r="C241" s="1" t="s">
        <v>458</v>
      </c>
      <c r="D241" s="3">
        <v>268285.40999999997</v>
      </c>
      <c r="E241" s="4">
        <v>4076865090.3600001</v>
      </c>
      <c r="H241" s="6">
        <f t="shared" si="36"/>
        <v>-1139557.6900000002</v>
      </c>
      <c r="I241" s="7">
        <f t="shared" si="37"/>
        <v>-17528591040.65601</v>
      </c>
    </row>
    <row r="242" spans="1:9" ht="15" customHeight="1" x14ac:dyDescent="0.2">
      <c r="H242" s="6"/>
      <c r="I242" s="7"/>
    </row>
    <row r="243" spans="1:9" ht="15" customHeight="1" x14ac:dyDescent="0.2">
      <c r="H243" s="6"/>
      <c r="I243" s="7"/>
    </row>
    <row r="245" spans="1:9" ht="15" customHeight="1" x14ac:dyDescent="0.2">
      <c r="A245" s="2">
        <v>44958</v>
      </c>
      <c r="C245" s="1" t="s">
        <v>176</v>
      </c>
      <c r="D245" s="95">
        <v>30000</v>
      </c>
      <c r="E245" s="96">
        <v>469260000</v>
      </c>
      <c r="H245" s="3">
        <f>+H241+D245-F245</f>
        <v>-1109557.6900000002</v>
      </c>
      <c r="I245" s="4">
        <f>+I241+E245-G245</f>
        <v>-17059331040.65601</v>
      </c>
    </row>
    <row r="246" spans="1:9" ht="15" customHeight="1" x14ac:dyDescent="0.2">
      <c r="A246" s="2">
        <v>44966</v>
      </c>
      <c r="C246" s="1" t="s">
        <v>180</v>
      </c>
      <c r="D246" s="14">
        <f>42270.8</f>
        <v>42270.8</v>
      </c>
      <c r="E246" s="4">
        <v>649829008.39999998</v>
      </c>
      <c r="H246" s="3">
        <f>+H245+D246-F246</f>
        <v>-1067286.8900000001</v>
      </c>
      <c r="I246" s="4">
        <f>+I245+E246-G246</f>
        <v>-16409502032.25601</v>
      </c>
    </row>
    <row r="247" spans="1:9" ht="15" customHeight="1" x14ac:dyDescent="0.2">
      <c r="A247" s="2">
        <v>44966</v>
      </c>
      <c r="C247" s="1" t="s">
        <v>183</v>
      </c>
      <c r="D247" s="94">
        <v>30000</v>
      </c>
      <c r="E247" s="4">
        <v>469260000</v>
      </c>
      <c r="H247" s="3">
        <f t="shared" ref="H247:H292" si="38">+H246+D247-F247</f>
        <v>-1037286.8900000001</v>
      </c>
      <c r="I247" s="4">
        <f t="shared" ref="I247:I292" si="39">+I246+E247-G247</f>
        <v>-15940242032.25601</v>
      </c>
    </row>
    <row r="248" spans="1:9" ht="15" customHeight="1" x14ac:dyDescent="0.2">
      <c r="A248" s="2">
        <v>44963</v>
      </c>
      <c r="C248" s="1" t="s">
        <v>192</v>
      </c>
      <c r="D248" s="14">
        <v>22866</v>
      </c>
      <c r="E248" s="4">
        <v>347471736</v>
      </c>
      <c r="H248" s="3">
        <f t="shared" si="38"/>
        <v>-1014420.8900000001</v>
      </c>
      <c r="I248" s="4">
        <f t="shared" si="39"/>
        <v>-15592770296.25601</v>
      </c>
    </row>
    <row r="249" spans="1:9" ht="15" customHeight="1" x14ac:dyDescent="0.2">
      <c r="A249" s="2">
        <v>44973</v>
      </c>
      <c r="C249" s="1" t="s">
        <v>176</v>
      </c>
      <c r="D249" s="95">
        <v>36000</v>
      </c>
      <c r="E249" s="96">
        <v>563112000</v>
      </c>
      <c r="H249" s="3">
        <f t="shared" si="38"/>
        <v>-978420.89000000013</v>
      </c>
      <c r="I249" s="4">
        <f t="shared" si="39"/>
        <v>-15029658296.25601</v>
      </c>
    </row>
    <row r="250" spans="1:9" ht="15" customHeight="1" x14ac:dyDescent="0.2">
      <c r="A250" s="2">
        <v>44973</v>
      </c>
      <c r="C250" s="1" t="s">
        <v>185</v>
      </c>
      <c r="D250" s="147">
        <v>8000</v>
      </c>
      <c r="E250" s="146">
        <v>122928000</v>
      </c>
      <c r="H250" s="3">
        <f t="shared" si="38"/>
        <v>-970420.89000000013</v>
      </c>
      <c r="I250" s="4">
        <f t="shared" si="39"/>
        <v>-14906730296.25601</v>
      </c>
    </row>
    <row r="251" spans="1:9" ht="15" customHeight="1" x14ac:dyDescent="0.2">
      <c r="A251" s="2">
        <v>44981</v>
      </c>
      <c r="C251" s="1" t="s">
        <v>176</v>
      </c>
      <c r="D251" s="95">
        <v>54000.6</v>
      </c>
      <c r="E251" s="96">
        <v>844677385.20000005</v>
      </c>
      <c r="H251" s="3">
        <f t="shared" si="38"/>
        <v>-916420.29000000015</v>
      </c>
      <c r="I251" s="4">
        <f t="shared" si="39"/>
        <v>-14062052911.056009</v>
      </c>
    </row>
    <row r="252" spans="1:9" ht="15" customHeight="1" x14ac:dyDescent="0.2">
      <c r="A252" s="2">
        <v>44981</v>
      </c>
      <c r="C252" s="1" t="s">
        <v>185</v>
      </c>
      <c r="D252" s="147">
        <v>22000</v>
      </c>
      <c r="E252" s="146">
        <v>338052000</v>
      </c>
      <c r="H252" s="3">
        <f t="shared" si="38"/>
        <v>-894420.29000000015</v>
      </c>
      <c r="I252" s="4">
        <f t="shared" si="39"/>
        <v>-13724000911.056009</v>
      </c>
    </row>
    <row r="253" spans="1:9" ht="15" customHeight="1" x14ac:dyDescent="0.2">
      <c r="A253" s="2">
        <v>44960</v>
      </c>
      <c r="C253" s="1" t="s">
        <v>196</v>
      </c>
      <c r="F253" s="3">
        <v>19637</v>
      </c>
      <c r="G253" s="4">
        <v>291962916</v>
      </c>
      <c r="H253" s="3">
        <f t="shared" si="38"/>
        <v>-914057.29000000015</v>
      </c>
      <c r="I253" s="4">
        <f t="shared" si="39"/>
        <v>-14015963827.056009</v>
      </c>
    </row>
    <row r="254" spans="1:9" ht="15" customHeight="1" x14ac:dyDescent="0.2">
      <c r="A254" s="2">
        <v>44960</v>
      </c>
      <c r="C254" s="1" t="s">
        <v>17</v>
      </c>
      <c r="F254" s="3">
        <v>37</v>
      </c>
      <c r="G254" s="4">
        <v>550116</v>
      </c>
      <c r="H254" s="3">
        <f t="shared" si="38"/>
        <v>-914094.29000000015</v>
      </c>
      <c r="I254" s="4">
        <f t="shared" si="39"/>
        <v>-14016513943.056009</v>
      </c>
    </row>
    <row r="255" spans="1:9" ht="15" customHeight="1" x14ac:dyDescent="0.2">
      <c r="A255" s="2">
        <v>44964</v>
      </c>
      <c r="C255" s="1" t="s">
        <v>189</v>
      </c>
      <c r="F255" s="18">
        <v>166971.5</v>
      </c>
      <c r="G255" s="99">
        <v>2513755932.5</v>
      </c>
      <c r="H255" s="3">
        <f t="shared" si="38"/>
        <v>-1081065.79</v>
      </c>
      <c r="I255" s="4">
        <f t="shared" si="39"/>
        <v>-16530269875.556009</v>
      </c>
    </row>
    <row r="256" spans="1:9" ht="15" customHeight="1" x14ac:dyDescent="0.2">
      <c r="A256" s="2">
        <v>44964</v>
      </c>
      <c r="C256" s="1" t="s">
        <v>17</v>
      </c>
      <c r="F256" s="98">
        <v>37</v>
      </c>
      <c r="G256" s="99">
        <v>557035</v>
      </c>
      <c r="H256" s="3">
        <f t="shared" si="38"/>
        <v>-1081102.79</v>
      </c>
      <c r="I256" s="4">
        <f t="shared" si="39"/>
        <v>-16530826910.556009</v>
      </c>
    </row>
    <row r="257" spans="1:9" ht="15" customHeight="1" x14ac:dyDescent="0.2">
      <c r="A257" s="2">
        <v>44970</v>
      </c>
      <c r="C257" s="1" t="s">
        <v>191</v>
      </c>
      <c r="F257" s="3">
        <v>104061.4</v>
      </c>
      <c r="G257" s="4">
        <v>1575489596</v>
      </c>
      <c r="H257" s="3">
        <f t="shared" si="38"/>
        <v>-1185164.19</v>
      </c>
      <c r="I257" s="4">
        <f t="shared" si="39"/>
        <v>-18106316506.556007</v>
      </c>
    </row>
    <row r="258" spans="1:9" ht="15" customHeight="1" x14ac:dyDescent="0.2">
      <c r="A258" s="2">
        <v>44970</v>
      </c>
      <c r="C258" s="1" t="s">
        <v>17</v>
      </c>
      <c r="F258" s="3">
        <v>30</v>
      </c>
      <c r="G258" s="4">
        <v>454200</v>
      </c>
      <c r="H258" s="3">
        <f t="shared" si="38"/>
        <v>-1185194.19</v>
      </c>
      <c r="I258" s="4">
        <f t="shared" si="39"/>
        <v>-18106770706.556007</v>
      </c>
    </row>
    <row r="259" spans="1:9" ht="15" customHeight="1" x14ac:dyDescent="0.2">
      <c r="A259" s="2">
        <v>44972</v>
      </c>
      <c r="B259" s="2"/>
      <c r="C259" s="1" t="s">
        <v>193</v>
      </c>
      <c r="F259" s="18">
        <v>150707.67000000001</v>
      </c>
      <c r="G259" s="4">
        <v>2285933938.5599999</v>
      </c>
      <c r="H259" s="3">
        <f t="shared" si="38"/>
        <v>-1335901.8599999999</v>
      </c>
      <c r="I259" s="4">
        <f t="shared" si="39"/>
        <v>-20392704645.116009</v>
      </c>
    </row>
    <row r="260" spans="1:9" ht="15" customHeight="1" x14ac:dyDescent="0.2">
      <c r="A260" s="2">
        <v>44972</v>
      </c>
      <c r="B260" s="2"/>
      <c r="C260" s="1" t="s">
        <v>17</v>
      </c>
      <c r="F260" s="18">
        <v>75</v>
      </c>
      <c r="G260" s="4">
        <v>1137600</v>
      </c>
      <c r="H260" s="3">
        <f t="shared" si="38"/>
        <v>-1335976.8599999999</v>
      </c>
      <c r="I260" s="4">
        <f t="shared" si="39"/>
        <v>-20393842245.116009</v>
      </c>
    </row>
    <row r="261" spans="1:9" ht="15" customHeight="1" x14ac:dyDescent="0.2">
      <c r="A261" s="2">
        <v>44980</v>
      </c>
      <c r="C261" s="1" t="s">
        <v>124</v>
      </c>
      <c r="F261" s="3">
        <v>50234.66</v>
      </c>
      <c r="G261" s="4">
        <v>764471055.88</v>
      </c>
      <c r="H261" s="3">
        <f t="shared" si="38"/>
        <v>-1386211.5199999998</v>
      </c>
      <c r="I261" s="4">
        <f t="shared" si="39"/>
        <v>-21158313300.99601</v>
      </c>
    </row>
    <row r="262" spans="1:9" ht="15" customHeight="1" x14ac:dyDescent="0.2">
      <c r="A262" s="2">
        <v>44980</v>
      </c>
      <c r="C262" s="1" t="s">
        <v>17</v>
      </c>
      <c r="F262" s="3">
        <v>50</v>
      </c>
      <c r="G262" s="4">
        <v>760900</v>
      </c>
      <c r="H262" s="3">
        <f t="shared" si="38"/>
        <v>-1386261.5199999998</v>
      </c>
      <c r="I262" s="4">
        <f t="shared" si="39"/>
        <v>-21159074200.99601</v>
      </c>
    </row>
    <row r="263" spans="1:9" ht="15" customHeight="1" x14ac:dyDescent="0.2">
      <c r="A263" s="2">
        <v>44981</v>
      </c>
      <c r="B263" s="2"/>
      <c r="C263" s="1" t="s">
        <v>189</v>
      </c>
      <c r="F263" s="98">
        <v>159075.85</v>
      </c>
      <c r="G263" s="4">
        <v>2415884933.9499998</v>
      </c>
      <c r="H263" s="3">
        <f t="shared" si="38"/>
        <v>-1545337.3699999999</v>
      </c>
      <c r="I263" s="4">
        <f t="shared" si="39"/>
        <v>-23574959134.946011</v>
      </c>
    </row>
    <row r="264" spans="1:9" ht="15" customHeight="1" x14ac:dyDescent="0.2">
      <c r="A264" s="2">
        <v>44981</v>
      </c>
      <c r="B264" s="2"/>
      <c r="C264" s="1" t="s">
        <v>17</v>
      </c>
      <c r="F264" s="98">
        <v>25</v>
      </c>
      <c r="G264" s="4">
        <v>379675</v>
      </c>
      <c r="H264" s="3">
        <f t="shared" si="38"/>
        <v>-1545362.3699999999</v>
      </c>
      <c r="I264" s="4">
        <f t="shared" si="39"/>
        <v>-23575338809.946011</v>
      </c>
    </row>
    <row r="265" spans="1:9" ht="15" customHeight="1" x14ac:dyDescent="0.2">
      <c r="A265" s="2">
        <v>44984</v>
      </c>
      <c r="C265" s="1" t="s">
        <v>124</v>
      </c>
      <c r="F265" s="3">
        <v>228.2</v>
      </c>
      <c r="G265" s="4">
        <v>3472291.2</v>
      </c>
      <c r="H265" s="3">
        <f t="shared" si="38"/>
        <v>-1545590.5699999998</v>
      </c>
      <c r="I265" s="4">
        <f t="shared" si="39"/>
        <v>-23578811101.146011</v>
      </c>
    </row>
    <row r="266" spans="1:9" ht="15" customHeight="1" x14ac:dyDescent="0.2">
      <c r="A266" s="2">
        <v>44984</v>
      </c>
      <c r="C266" s="1" t="s">
        <v>315</v>
      </c>
      <c r="F266" s="16">
        <v>138472.79999999999</v>
      </c>
      <c r="G266" s="189">
        <v>2107002124.8</v>
      </c>
      <c r="H266" s="3">
        <f t="shared" si="38"/>
        <v>-1684063.3699999999</v>
      </c>
      <c r="I266" s="4">
        <f t="shared" si="39"/>
        <v>-25685813225.946011</v>
      </c>
    </row>
    <row r="267" spans="1:9" ht="15" customHeight="1" x14ac:dyDescent="0.2">
      <c r="A267" s="2">
        <v>44984</v>
      </c>
      <c r="C267" s="1" t="s">
        <v>17</v>
      </c>
      <c r="F267" s="16">
        <v>30</v>
      </c>
      <c r="G267" s="189">
        <v>456480</v>
      </c>
      <c r="H267" s="3">
        <f t="shared" si="38"/>
        <v>-1684093.3699999999</v>
      </c>
      <c r="I267" s="4">
        <f t="shared" si="39"/>
        <v>-25686269705.946011</v>
      </c>
    </row>
    <row r="268" spans="1:9" ht="15" customHeight="1" x14ac:dyDescent="0.2">
      <c r="A268" s="2">
        <v>44986</v>
      </c>
      <c r="C268" s="1" t="s">
        <v>208</v>
      </c>
      <c r="D268" s="18">
        <v>14772</v>
      </c>
      <c r="E268" s="4">
        <v>227621748</v>
      </c>
      <c r="H268" s="3">
        <f t="shared" si="38"/>
        <v>-1669321.3699999999</v>
      </c>
      <c r="I268" s="4">
        <f t="shared" si="39"/>
        <v>-25458647957.946011</v>
      </c>
    </row>
    <row r="269" spans="1:9" ht="15" customHeight="1" x14ac:dyDescent="0.2">
      <c r="A269" s="2">
        <v>44995</v>
      </c>
      <c r="C269" s="1" t="s">
        <v>211</v>
      </c>
      <c r="F269" s="3">
        <v>59282.31</v>
      </c>
      <c r="G269" s="4">
        <v>915200301.77999997</v>
      </c>
      <c r="H269" s="3">
        <f t="shared" si="38"/>
        <v>-1728603.68</v>
      </c>
      <c r="I269" s="4">
        <f t="shared" si="39"/>
        <v>-26373848259.726009</v>
      </c>
    </row>
    <row r="270" spans="1:9" ht="15" customHeight="1" x14ac:dyDescent="0.2">
      <c r="A270" s="2">
        <v>44995</v>
      </c>
      <c r="C270" s="1" t="s">
        <v>17</v>
      </c>
      <c r="F270" s="3">
        <v>41</v>
      </c>
      <c r="G270" s="4">
        <v>632958</v>
      </c>
      <c r="H270" s="3">
        <f t="shared" si="38"/>
        <v>-1728644.68</v>
      </c>
      <c r="I270" s="4">
        <f t="shared" si="39"/>
        <v>-26374481217.726009</v>
      </c>
    </row>
    <row r="271" spans="1:9" ht="15" customHeight="1" x14ac:dyDescent="0.2">
      <c r="A271" s="2">
        <v>45006</v>
      </c>
      <c r="C271" s="1" t="s">
        <v>214</v>
      </c>
      <c r="D271" s="18">
        <v>159100.85</v>
      </c>
      <c r="E271" s="4">
        <v>2416264608.9499998</v>
      </c>
      <c r="H271" s="3">
        <f t="shared" si="38"/>
        <v>-1569543.8299999998</v>
      </c>
      <c r="I271" s="4">
        <f t="shared" si="39"/>
        <v>-23958216608.776009</v>
      </c>
    </row>
    <row r="272" spans="1:9" ht="15" customHeight="1" x14ac:dyDescent="0.2">
      <c r="A272" s="2">
        <v>44993</v>
      </c>
      <c r="C272" s="1" t="s">
        <v>215</v>
      </c>
      <c r="D272" s="18">
        <v>82943.55</v>
      </c>
      <c r="E272" s="99">
        <v>1248715145.25</v>
      </c>
      <c r="H272" s="3">
        <f t="shared" si="38"/>
        <v>-1486600.2799999998</v>
      </c>
      <c r="I272" s="4">
        <f t="shared" si="39"/>
        <v>-22709501463.526009</v>
      </c>
    </row>
    <row r="273" spans="1:9" ht="15" customHeight="1" x14ac:dyDescent="0.2">
      <c r="A273" s="2">
        <v>45005</v>
      </c>
      <c r="C273" s="1" t="s">
        <v>215</v>
      </c>
      <c r="D273" s="18">
        <v>84064.95</v>
      </c>
      <c r="E273" s="99">
        <v>1265597822.25</v>
      </c>
      <c r="H273" s="3">
        <f t="shared" si="38"/>
        <v>-1402535.3299999998</v>
      </c>
      <c r="I273" s="4">
        <f t="shared" si="39"/>
        <v>-21443903641.276009</v>
      </c>
    </row>
    <row r="274" spans="1:9" ht="15" customHeight="1" x14ac:dyDescent="0.2">
      <c r="A274" s="2">
        <v>44999</v>
      </c>
      <c r="C274" s="1" t="s">
        <v>189</v>
      </c>
      <c r="F274" s="3">
        <v>77743</v>
      </c>
      <c r="G274" s="4">
        <v>1195220882</v>
      </c>
      <c r="H274" s="3">
        <f t="shared" si="38"/>
        <v>-1480278.3299999998</v>
      </c>
      <c r="I274" s="4">
        <f t="shared" si="39"/>
        <v>-22639124523.276009</v>
      </c>
    </row>
    <row r="275" spans="1:9" ht="15" customHeight="1" x14ac:dyDescent="0.2">
      <c r="A275" s="2">
        <v>44999</v>
      </c>
      <c r="C275" s="1" t="s">
        <v>17</v>
      </c>
      <c r="F275" s="3">
        <v>37</v>
      </c>
      <c r="G275" s="4">
        <v>568838</v>
      </c>
      <c r="H275" s="3">
        <f t="shared" si="38"/>
        <v>-1480315.3299999998</v>
      </c>
      <c r="I275" s="4">
        <f t="shared" si="39"/>
        <v>-22639693361.276009</v>
      </c>
    </row>
    <row r="276" spans="1:9" ht="15" customHeight="1" x14ac:dyDescent="0.2">
      <c r="A276" s="2">
        <v>44999</v>
      </c>
      <c r="C276" s="1" t="s">
        <v>189</v>
      </c>
      <c r="F276" s="3">
        <v>81632</v>
      </c>
      <c r="G276" s="4">
        <v>1255010368</v>
      </c>
      <c r="H276" s="3">
        <f t="shared" si="38"/>
        <v>-1561947.3299999998</v>
      </c>
      <c r="I276" s="4">
        <f t="shared" si="39"/>
        <v>-23894703729.276009</v>
      </c>
    </row>
    <row r="277" spans="1:9" ht="15" customHeight="1" x14ac:dyDescent="0.2">
      <c r="A277" s="2">
        <v>44999</v>
      </c>
      <c r="C277" s="1" t="s">
        <v>17</v>
      </c>
      <c r="F277" s="3">
        <v>37</v>
      </c>
      <c r="G277" s="4">
        <v>568838</v>
      </c>
      <c r="H277" s="3">
        <f t="shared" si="38"/>
        <v>-1561984.3299999998</v>
      </c>
      <c r="I277" s="4">
        <f t="shared" si="39"/>
        <v>-23895272567.276009</v>
      </c>
    </row>
    <row r="278" spans="1:9" ht="15" customHeight="1" x14ac:dyDescent="0.2">
      <c r="A278" s="2">
        <v>45000</v>
      </c>
      <c r="C278" s="1" t="s">
        <v>191</v>
      </c>
      <c r="F278" s="3">
        <v>104061.4</v>
      </c>
      <c r="G278" s="4">
        <v>1600464332</v>
      </c>
      <c r="H278" s="3">
        <f t="shared" si="38"/>
        <v>-1666045.7299999997</v>
      </c>
      <c r="I278" s="4">
        <f t="shared" si="39"/>
        <v>-25495736899.276009</v>
      </c>
    </row>
    <row r="279" spans="1:9" ht="15" customHeight="1" x14ac:dyDescent="0.2">
      <c r="A279" s="2">
        <v>45000</v>
      </c>
      <c r="C279" s="1" t="s">
        <v>17</v>
      </c>
      <c r="F279" s="3">
        <v>30</v>
      </c>
      <c r="G279" s="4">
        <v>461400</v>
      </c>
      <c r="H279" s="3">
        <f t="shared" si="38"/>
        <v>-1666075.7299999997</v>
      </c>
      <c r="I279" s="4">
        <f t="shared" si="39"/>
        <v>-25496198299.276009</v>
      </c>
    </row>
    <row r="280" spans="1:9" ht="15" customHeight="1" x14ac:dyDescent="0.2">
      <c r="A280" s="2">
        <v>45009</v>
      </c>
      <c r="C280" s="1" t="s">
        <v>185</v>
      </c>
      <c r="D280" s="147">
        <v>15168</v>
      </c>
      <c r="E280" s="146">
        <v>233071488</v>
      </c>
      <c r="H280" s="3">
        <f t="shared" si="38"/>
        <v>-1650907.7299999997</v>
      </c>
      <c r="I280" s="4">
        <f t="shared" si="39"/>
        <v>-25263126811.276009</v>
      </c>
    </row>
    <row r="281" spans="1:9" ht="15" customHeight="1" x14ac:dyDescent="0.2">
      <c r="A281" s="2">
        <v>45009</v>
      </c>
      <c r="C281" s="1" t="s">
        <v>221</v>
      </c>
      <c r="D281" s="16">
        <v>27000</v>
      </c>
      <c r="E281" s="189">
        <v>410832000</v>
      </c>
      <c r="H281" s="3">
        <f t="shared" si="38"/>
        <v>-1623907.7299999997</v>
      </c>
      <c r="I281" s="4">
        <f t="shared" si="39"/>
        <v>-24852294811.276009</v>
      </c>
    </row>
    <row r="282" spans="1:9" ht="15" customHeight="1" x14ac:dyDescent="0.2">
      <c r="A282" s="2">
        <v>44988</v>
      </c>
      <c r="C282" s="1" t="s">
        <v>225</v>
      </c>
      <c r="D282" s="18">
        <v>150782.67000000001</v>
      </c>
      <c r="E282" s="4">
        <v>2287071538.5599999</v>
      </c>
      <c r="H282" s="3">
        <f t="shared" si="38"/>
        <v>-1473125.0599999998</v>
      </c>
      <c r="I282" s="4">
        <f t="shared" si="39"/>
        <v>-22565223272.716007</v>
      </c>
    </row>
    <row r="283" spans="1:9" ht="15" customHeight="1" x14ac:dyDescent="0.2">
      <c r="A283" s="2">
        <v>45000</v>
      </c>
      <c r="C283" s="1" t="s">
        <v>193</v>
      </c>
      <c r="F283" s="3">
        <v>150707.67000000001</v>
      </c>
      <c r="G283" s="4">
        <v>2317883964.5999999</v>
      </c>
      <c r="H283" s="3">
        <f t="shared" si="38"/>
        <v>-1623832.7299999997</v>
      </c>
      <c r="I283" s="4">
        <f t="shared" si="39"/>
        <v>-24883107237.316006</v>
      </c>
    </row>
    <row r="284" spans="1:9" ht="15" customHeight="1" x14ac:dyDescent="0.2">
      <c r="A284" s="2">
        <v>45000</v>
      </c>
      <c r="C284" s="1" t="s">
        <v>17</v>
      </c>
      <c r="F284" s="3">
        <v>75</v>
      </c>
      <c r="G284" s="4">
        <v>1153500</v>
      </c>
      <c r="H284" s="3">
        <f t="shared" si="38"/>
        <v>-1623907.7299999997</v>
      </c>
      <c r="I284" s="4">
        <f t="shared" si="39"/>
        <v>-24884260737.316006</v>
      </c>
    </row>
    <row r="285" spans="1:9" ht="15" customHeight="1" x14ac:dyDescent="0.2">
      <c r="A285" s="2">
        <v>45001</v>
      </c>
      <c r="C285" s="1" t="s">
        <v>17</v>
      </c>
      <c r="F285" s="3">
        <v>139580.29</v>
      </c>
      <c r="G285" s="4">
        <v>2144651155.8499999</v>
      </c>
      <c r="H285" s="3">
        <f t="shared" si="38"/>
        <v>-1763488.0199999998</v>
      </c>
      <c r="I285" s="4">
        <f t="shared" si="39"/>
        <v>-27028911893.166004</v>
      </c>
    </row>
    <row r="286" spans="1:9" ht="15" customHeight="1" x14ac:dyDescent="0.2">
      <c r="A286" s="2">
        <v>45001</v>
      </c>
      <c r="C286" s="1" t="s">
        <v>17</v>
      </c>
      <c r="F286" s="3">
        <v>43</v>
      </c>
      <c r="G286" s="4">
        <v>660695</v>
      </c>
      <c r="H286" s="3">
        <f t="shared" si="38"/>
        <v>-1763531.0199999998</v>
      </c>
      <c r="I286" s="4">
        <f t="shared" si="39"/>
        <v>-27029572588.166004</v>
      </c>
    </row>
    <row r="287" spans="1:9" ht="15" customHeight="1" x14ac:dyDescent="0.2">
      <c r="A287" s="2">
        <v>45015</v>
      </c>
      <c r="C287" s="1" t="s">
        <v>183</v>
      </c>
      <c r="D287" s="3">
        <v>24000</v>
      </c>
      <c r="E287" s="4">
        <v>375408000</v>
      </c>
      <c r="H287" s="3">
        <f t="shared" si="38"/>
        <v>-1739531.0199999998</v>
      </c>
      <c r="I287" s="4">
        <f t="shared" si="39"/>
        <v>-26654164588.166004</v>
      </c>
    </row>
    <row r="288" spans="1:9" ht="15" customHeight="1" x14ac:dyDescent="0.2">
      <c r="A288" s="2">
        <v>45005</v>
      </c>
      <c r="C288" s="1" t="s">
        <v>208</v>
      </c>
      <c r="D288" s="3">
        <v>14772</v>
      </c>
      <c r="E288" s="4">
        <v>227621748</v>
      </c>
      <c r="H288" s="3">
        <f t="shared" si="38"/>
        <v>-1724759.0199999998</v>
      </c>
      <c r="I288" s="4">
        <f t="shared" si="39"/>
        <v>-26426542840.166004</v>
      </c>
    </row>
    <row r="289" spans="1:9" ht="15" customHeight="1" x14ac:dyDescent="0.2">
      <c r="A289" s="2">
        <v>45009</v>
      </c>
      <c r="C289" s="1" t="s">
        <v>229</v>
      </c>
      <c r="F289" s="3">
        <v>59377.5</v>
      </c>
      <c r="G289" s="4">
        <v>911385247.5</v>
      </c>
      <c r="H289" s="3">
        <f t="shared" si="38"/>
        <v>-1784136.5199999998</v>
      </c>
      <c r="I289" s="4">
        <f t="shared" si="39"/>
        <v>-27337928087.666004</v>
      </c>
    </row>
    <row r="290" spans="1:9" ht="15" customHeight="1" x14ac:dyDescent="0.2">
      <c r="A290" s="2">
        <v>45009</v>
      </c>
      <c r="C290" s="1" t="s">
        <v>17</v>
      </c>
      <c r="F290" s="3">
        <v>42</v>
      </c>
      <c r="G290" s="4">
        <v>644658</v>
      </c>
      <c r="H290" s="3">
        <f t="shared" si="38"/>
        <v>-1784178.5199999998</v>
      </c>
      <c r="I290" s="4">
        <f t="shared" si="39"/>
        <v>-27338572745.666004</v>
      </c>
    </row>
    <row r="291" spans="1:9" ht="15" customHeight="1" x14ac:dyDescent="0.2">
      <c r="A291" s="2">
        <v>44987</v>
      </c>
      <c r="C291" s="1" t="s">
        <v>231</v>
      </c>
      <c r="D291" s="3">
        <v>71784.66</v>
      </c>
      <c r="E291" s="4">
        <v>1101182481.0799999</v>
      </c>
      <c r="H291" s="3">
        <f t="shared" si="38"/>
        <v>-1712393.8599999999</v>
      </c>
      <c r="I291" s="4">
        <f t="shared" si="39"/>
        <v>-26237390264.586006</v>
      </c>
    </row>
    <row r="292" spans="1:9" ht="15" customHeight="1" x14ac:dyDescent="0.2">
      <c r="A292" s="2">
        <v>44987</v>
      </c>
      <c r="B292" s="2"/>
      <c r="C292" s="1" t="s">
        <v>177</v>
      </c>
      <c r="D292" s="18">
        <v>282536.67</v>
      </c>
      <c r="E292" s="32">
        <v>4464349315.4499998</v>
      </c>
      <c r="H292" s="3">
        <f t="shared" ref="H292" si="40">+H291+D292-F292</f>
        <v>-1429857.19</v>
      </c>
      <c r="I292" s="4">
        <f t="shared" ref="I292" si="41">+I291+E292-G292</f>
        <v>-21773040949.136005</v>
      </c>
    </row>
    <row r="293" spans="1:9" ht="15" customHeight="1" x14ac:dyDescent="0.2">
      <c r="H293" s="6"/>
      <c r="I293" s="7"/>
    </row>
    <row r="294" spans="1:9" ht="15" customHeight="1" x14ac:dyDescent="0.2">
      <c r="H294" s="6"/>
      <c r="I294" s="7"/>
    </row>
    <row r="295" spans="1:9" ht="15" customHeight="1" x14ac:dyDescent="0.2">
      <c r="A295" s="2">
        <v>45022</v>
      </c>
      <c r="C295" s="1" t="s">
        <v>185</v>
      </c>
      <c r="D295" s="147">
        <v>30000</v>
      </c>
      <c r="E295" s="146">
        <v>460980000</v>
      </c>
      <c r="H295" s="3">
        <f>+H292+D295-F295</f>
        <v>-1399857.19</v>
      </c>
      <c r="I295" s="4">
        <f>+I292+E295-G295</f>
        <v>-21312060949.136005</v>
      </c>
    </row>
    <row r="296" spans="1:9" ht="15" customHeight="1" x14ac:dyDescent="0.2">
      <c r="A296" s="2">
        <v>45030</v>
      </c>
      <c r="C296" s="1" t="s">
        <v>242</v>
      </c>
      <c r="F296" s="3">
        <v>128766.51</v>
      </c>
      <c r="G296" s="4">
        <v>1904714215.9200001</v>
      </c>
      <c r="H296" s="3">
        <f>+H295+D296-F296</f>
        <v>-1528623.7</v>
      </c>
      <c r="I296" s="4">
        <f>+I295+E296-G296</f>
        <v>-23216775165.056007</v>
      </c>
    </row>
    <row r="297" spans="1:9" ht="15" customHeight="1" x14ac:dyDescent="0.2">
      <c r="A297" s="2">
        <v>45030</v>
      </c>
      <c r="C297" s="1" t="s">
        <v>17</v>
      </c>
      <c r="F297" s="3">
        <v>82</v>
      </c>
      <c r="G297" s="4">
        <v>1212944</v>
      </c>
      <c r="H297" s="3">
        <f t="shared" ref="H297:H306" si="42">+H296+D297-F297</f>
        <v>-1528705.7</v>
      </c>
      <c r="I297" s="4">
        <f t="shared" ref="I297:I306" si="43">+I296+E297-G297</f>
        <v>-23217988109.056007</v>
      </c>
    </row>
    <row r="298" spans="1:9" ht="15" customHeight="1" x14ac:dyDescent="0.2">
      <c r="A298" s="2">
        <v>45034</v>
      </c>
      <c r="C298" s="1" t="s">
        <v>244</v>
      </c>
      <c r="F298" s="3">
        <v>46717.36</v>
      </c>
      <c r="G298" s="4">
        <v>690155559.27999997</v>
      </c>
      <c r="H298" s="3">
        <f t="shared" si="42"/>
        <v>-1575423.06</v>
      </c>
      <c r="I298" s="4">
        <f t="shared" si="43"/>
        <v>-23908143668.336006</v>
      </c>
    </row>
    <row r="299" spans="1:9" ht="15" customHeight="1" x14ac:dyDescent="0.2">
      <c r="A299" s="2">
        <v>45034</v>
      </c>
      <c r="C299" s="1" t="s">
        <v>17</v>
      </c>
      <c r="F299" s="3">
        <v>17</v>
      </c>
      <c r="G299" s="4">
        <v>251141</v>
      </c>
      <c r="H299" s="3">
        <f t="shared" si="42"/>
        <v>-1575440.06</v>
      </c>
      <c r="I299" s="4">
        <f t="shared" si="43"/>
        <v>-23908394809.336006</v>
      </c>
    </row>
    <row r="300" spans="1:9" ht="15" customHeight="1" x14ac:dyDescent="0.2">
      <c r="A300" s="2">
        <v>45027</v>
      </c>
      <c r="C300" s="1" t="s">
        <v>221</v>
      </c>
      <c r="D300" s="16">
        <v>41000</v>
      </c>
      <c r="E300" s="189">
        <v>623856000</v>
      </c>
      <c r="H300" s="3">
        <f t="shared" si="42"/>
        <v>-1534440.06</v>
      </c>
      <c r="I300" s="4">
        <f t="shared" si="43"/>
        <v>-23284538809.336006</v>
      </c>
    </row>
    <row r="301" spans="1:9" ht="15" customHeight="1" x14ac:dyDescent="0.2">
      <c r="A301" s="2">
        <v>45026</v>
      </c>
      <c r="C301" s="1" t="s">
        <v>189</v>
      </c>
      <c r="F301" s="3">
        <v>182678.65</v>
      </c>
      <c r="G301" s="4">
        <v>2729767066.9499998</v>
      </c>
      <c r="H301" s="3">
        <f t="shared" si="42"/>
        <v>-1717118.71</v>
      </c>
      <c r="I301" s="4">
        <f t="shared" si="43"/>
        <v>-26014305876.286007</v>
      </c>
    </row>
    <row r="302" spans="1:9" ht="15" customHeight="1" x14ac:dyDescent="0.2">
      <c r="A302" s="2">
        <v>45026</v>
      </c>
      <c r="C302" s="1" t="s">
        <v>17</v>
      </c>
      <c r="F302" s="3">
        <v>25</v>
      </c>
      <c r="G302" s="4">
        <v>373575</v>
      </c>
      <c r="H302" s="3">
        <f t="shared" si="42"/>
        <v>-1717143.71</v>
      </c>
      <c r="I302" s="4">
        <f t="shared" si="43"/>
        <v>-26014679451.286007</v>
      </c>
    </row>
    <row r="303" spans="1:9" ht="15" customHeight="1" x14ac:dyDescent="0.2">
      <c r="A303" s="2">
        <v>45044</v>
      </c>
      <c r="C303" s="1" t="s">
        <v>191</v>
      </c>
      <c r="F303" s="3">
        <v>251214.26</v>
      </c>
      <c r="G303" s="4">
        <v>3705661549.2600002</v>
      </c>
      <c r="H303" s="3">
        <f t="shared" si="42"/>
        <v>-1968357.97</v>
      </c>
      <c r="I303" s="4">
        <f t="shared" si="43"/>
        <v>-29720341000.546005</v>
      </c>
    </row>
    <row r="304" spans="1:9" ht="15" customHeight="1" x14ac:dyDescent="0.2">
      <c r="A304" s="2">
        <v>45044</v>
      </c>
      <c r="C304" s="1" t="s">
        <v>17</v>
      </c>
      <c r="F304" s="3">
        <v>30</v>
      </c>
      <c r="G304" s="4">
        <v>442530</v>
      </c>
      <c r="H304" s="3">
        <f t="shared" si="42"/>
        <v>-1968387.97</v>
      </c>
      <c r="I304" s="4">
        <f t="shared" si="43"/>
        <v>-29720783530.546005</v>
      </c>
    </row>
    <row r="305" spans="1:9" ht="15" customHeight="1" x14ac:dyDescent="0.2">
      <c r="A305" s="2">
        <v>45022</v>
      </c>
      <c r="C305" s="1" t="s">
        <v>191</v>
      </c>
      <c r="F305" s="3">
        <v>145879.6</v>
      </c>
      <c r="G305" s="4">
        <v>2178420066.8000002</v>
      </c>
      <c r="H305" s="3">
        <f t="shared" si="42"/>
        <v>-2114267.5699999998</v>
      </c>
      <c r="I305" s="4">
        <f t="shared" si="43"/>
        <v>-31899203597.346004</v>
      </c>
    </row>
    <row r="306" spans="1:9" ht="15" customHeight="1" x14ac:dyDescent="0.2">
      <c r="A306" s="2">
        <v>45022</v>
      </c>
      <c r="C306" s="1" t="s">
        <v>17</v>
      </c>
      <c r="F306" s="3">
        <v>30</v>
      </c>
      <c r="G306" s="4">
        <v>447990</v>
      </c>
      <c r="H306" s="6">
        <f t="shared" si="42"/>
        <v>-2114297.5699999998</v>
      </c>
      <c r="I306" s="7">
        <f t="shared" si="43"/>
        <v>-31899651587.346004</v>
      </c>
    </row>
    <row r="309" spans="1:9" ht="15" customHeight="1" x14ac:dyDescent="0.2">
      <c r="A309" s="2">
        <v>45048</v>
      </c>
      <c r="B309" s="2"/>
      <c r="C309" s="1" t="s">
        <v>275</v>
      </c>
      <c r="D309" s="118">
        <v>19674</v>
      </c>
      <c r="E309" s="137">
        <v>292513032</v>
      </c>
      <c r="F309" s="1"/>
      <c r="G309" s="1"/>
      <c r="H309" s="3">
        <f>+H306+D309-F309</f>
        <v>-2094623.5699999998</v>
      </c>
      <c r="I309" s="4">
        <f>+I306+E309-G309</f>
        <v>-31607138555.346004</v>
      </c>
    </row>
    <row r="310" spans="1:9" ht="15" customHeight="1" x14ac:dyDescent="0.2">
      <c r="A310" s="2">
        <v>45048</v>
      </c>
      <c r="B310" s="2"/>
      <c r="C310" s="1" t="s">
        <v>276</v>
      </c>
      <c r="D310" s="118">
        <v>46734.36</v>
      </c>
      <c r="E310" s="152">
        <v>690406700.27999997</v>
      </c>
      <c r="F310" s="118"/>
      <c r="G310" s="152"/>
      <c r="H310" s="3">
        <f>+H309+D310-F310</f>
        <v>-2047889.2099999997</v>
      </c>
      <c r="I310" s="4">
        <f>+I309+E310-G310</f>
        <v>-30916731855.066006</v>
      </c>
    </row>
    <row r="311" spans="1:9" ht="15" customHeight="1" x14ac:dyDescent="0.2">
      <c r="A311" s="2">
        <v>45048</v>
      </c>
      <c r="C311" s="1" t="s">
        <v>266</v>
      </c>
      <c r="F311" s="17">
        <v>44613</v>
      </c>
      <c r="G311" s="4">
        <v>654071193</v>
      </c>
      <c r="H311" s="3">
        <f t="shared" ref="H311:H327" si="44">+H310+D311-F311</f>
        <v>-2092502.2099999997</v>
      </c>
      <c r="I311" s="4">
        <f t="shared" ref="I311:I327" si="45">+I310+E311-G311</f>
        <v>-31570803048.066006</v>
      </c>
    </row>
    <row r="312" spans="1:9" ht="15" customHeight="1" x14ac:dyDescent="0.2">
      <c r="A312" s="2">
        <v>45048</v>
      </c>
      <c r="C312" s="1" t="s">
        <v>17</v>
      </c>
      <c r="F312" s="17">
        <v>57</v>
      </c>
      <c r="G312" s="4">
        <v>835677</v>
      </c>
      <c r="H312" s="3">
        <f t="shared" si="44"/>
        <v>-2092559.2099999997</v>
      </c>
      <c r="I312" s="4">
        <f t="shared" si="45"/>
        <v>-31571638725.066006</v>
      </c>
    </row>
    <row r="313" spans="1:9" ht="15" customHeight="1" x14ac:dyDescent="0.2">
      <c r="A313" s="2">
        <v>45051</v>
      </c>
      <c r="C313" s="1" t="s">
        <v>268</v>
      </c>
      <c r="D313" s="16">
        <v>70502.8</v>
      </c>
      <c r="E313" s="189">
        <v>1072770604.8</v>
      </c>
      <c r="F313" s="17"/>
      <c r="H313" s="3">
        <f t="shared" si="44"/>
        <v>-2022056.4099999997</v>
      </c>
      <c r="I313" s="4">
        <f t="shared" si="45"/>
        <v>-30498868120.266006</v>
      </c>
    </row>
    <row r="314" spans="1:9" ht="15" customHeight="1" x14ac:dyDescent="0.2">
      <c r="A314" s="2">
        <v>45051</v>
      </c>
      <c r="B314" s="2"/>
      <c r="C314" s="1" t="s">
        <v>269</v>
      </c>
      <c r="D314" s="115">
        <v>32000</v>
      </c>
      <c r="E314" s="140">
        <v>492160000</v>
      </c>
      <c r="F314" s="17"/>
      <c r="H314" s="3">
        <f t="shared" si="44"/>
        <v>-1990056.4099999997</v>
      </c>
      <c r="I314" s="4">
        <f t="shared" si="45"/>
        <v>-30006708120.266006</v>
      </c>
    </row>
    <row r="315" spans="1:9" ht="15" customHeight="1" x14ac:dyDescent="0.2">
      <c r="A315" s="2">
        <v>45056</v>
      </c>
      <c r="C315" s="1" t="s">
        <v>269</v>
      </c>
      <c r="D315" s="115">
        <v>42000</v>
      </c>
      <c r="E315" s="140">
        <v>645960000</v>
      </c>
      <c r="F315" s="115"/>
      <c r="G315" s="140"/>
      <c r="H315" s="3">
        <f t="shared" si="44"/>
        <v>-1948056.4099999997</v>
      </c>
      <c r="I315" s="4">
        <f t="shared" si="45"/>
        <v>-29360748120.266006</v>
      </c>
    </row>
    <row r="316" spans="1:9" ht="15" customHeight="1" x14ac:dyDescent="0.2">
      <c r="A316" s="2">
        <v>45056</v>
      </c>
      <c r="C316" s="1" t="s">
        <v>197</v>
      </c>
      <c r="F316" s="17">
        <v>23070</v>
      </c>
      <c r="G316" s="4">
        <v>340443990</v>
      </c>
      <c r="H316" s="3">
        <f t="shared" si="44"/>
        <v>-1971126.4099999997</v>
      </c>
      <c r="I316" s="4">
        <f t="shared" si="45"/>
        <v>-29701192110.266006</v>
      </c>
    </row>
    <row r="317" spans="1:9" ht="15" customHeight="1" x14ac:dyDescent="0.2">
      <c r="A317" s="2">
        <v>45057</v>
      </c>
      <c r="C317" s="1" t="s">
        <v>264</v>
      </c>
      <c r="F317" s="17">
        <v>68669</v>
      </c>
      <c r="G317" s="4">
        <v>1012593074</v>
      </c>
      <c r="H317" s="3">
        <f t="shared" si="44"/>
        <v>-2039795.4099999997</v>
      </c>
      <c r="I317" s="4">
        <f t="shared" si="45"/>
        <v>-30713785184.266006</v>
      </c>
    </row>
    <row r="318" spans="1:9" ht="15" customHeight="1" x14ac:dyDescent="0.2">
      <c r="A318" s="2">
        <v>45057</v>
      </c>
      <c r="C318" s="1" t="s">
        <v>17</v>
      </c>
      <c r="F318" s="17">
        <v>37</v>
      </c>
      <c r="G318" s="4">
        <v>545602</v>
      </c>
      <c r="H318" s="3">
        <f t="shared" si="44"/>
        <v>-2039832.4099999997</v>
      </c>
      <c r="I318" s="4">
        <f t="shared" si="45"/>
        <v>-30714330786.266006</v>
      </c>
    </row>
    <row r="319" spans="1:9" ht="15" customHeight="1" x14ac:dyDescent="0.2">
      <c r="A319" s="2">
        <v>45058</v>
      </c>
      <c r="C319" s="1" t="s">
        <v>269</v>
      </c>
      <c r="D319" s="115">
        <v>13000</v>
      </c>
      <c r="E319" s="140">
        <v>199940000</v>
      </c>
      <c r="F319" s="115"/>
      <c r="G319" s="140"/>
      <c r="H319" s="3">
        <f t="shared" si="44"/>
        <v>-2026832.4099999997</v>
      </c>
      <c r="I319" s="4">
        <f t="shared" si="45"/>
        <v>-30514390786.266006</v>
      </c>
    </row>
    <row r="320" spans="1:9" ht="15" customHeight="1" x14ac:dyDescent="0.2">
      <c r="A320" s="2">
        <v>45058</v>
      </c>
      <c r="C320" s="1" t="s">
        <v>270</v>
      </c>
      <c r="D320" s="102">
        <v>10000</v>
      </c>
      <c r="E320" s="137">
        <v>149330000</v>
      </c>
      <c r="F320" s="102"/>
      <c r="G320" s="152"/>
      <c r="H320" s="3">
        <f t="shared" si="44"/>
        <v>-2016832.4099999997</v>
      </c>
      <c r="I320" s="4">
        <f t="shared" si="45"/>
        <v>-30365060786.266006</v>
      </c>
    </row>
    <row r="321" spans="1:9" ht="15" customHeight="1" x14ac:dyDescent="0.2">
      <c r="A321" s="2">
        <v>45065</v>
      </c>
      <c r="C321" s="1" t="s">
        <v>270</v>
      </c>
      <c r="D321" s="102">
        <v>23000</v>
      </c>
      <c r="E321" s="137">
        <v>343459000</v>
      </c>
      <c r="F321" s="102"/>
      <c r="G321" s="137"/>
      <c r="H321" s="3">
        <f t="shared" si="44"/>
        <v>-1993832.4099999997</v>
      </c>
      <c r="I321" s="4">
        <f t="shared" si="45"/>
        <v>-30021601786.266006</v>
      </c>
    </row>
    <row r="322" spans="1:9" ht="15" customHeight="1" x14ac:dyDescent="0.2">
      <c r="A322" s="2">
        <v>45065</v>
      </c>
      <c r="C322" s="1" t="s">
        <v>271</v>
      </c>
      <c r="D322" s="156">
        <v>33017.599999999999</v>
      </c>
      <c r="E322" s="25">
        <v>491137130.18000001</v>
      </c>
      <c r="F322" s="102"/>
      <c r="G322" s="137"/>
      <c r="H322" s="3">
        <f t="shared" si="44"/>
        <v>-1960814.8099999996</v>
      </c>
      <c r="I322" s="4">
        <f t="shared" si="45"/>
        <v>-29530464656.086006</v>
      </c>
    </row>
    <row r="323" spans="1:9" ht="15" customHeight="1" x14ac:dyDescent="0.2">
      <c r="A323" s="2">
        <v>45065</v>
      </c>
      <c r="C323" s="1" t="s">
        <v>274</v>
      </c>
      <c r="D323" s="156">
        <v>128848.51</v>
      </c>
      <c r="E323" s="73">
        <v>1905927159.9200001</v>
      </c>
      <c r="F323" s="156"/>
      <c r="G323" s="73"/>
      <c r="H323" s="3">
        <f t="shared" si="44"/>
        <v>-1831966.2999999996</v>
      </c>
      <c r="I323" s="4">
        <f t="shared" si="45"/>
        <v>-27624537496.166008</v>
      </c>
    </row>
    <row r="324" spans="1:9" ht="15" customHeight="1" x14ac:dyDescent="0.2">
      <c r="A324" s="2">
        <v>45068</v>
      </c>
      <c r="C324" s="1" t="s">
        <v>191</v>
      </c>
      <c r="F324" s="17">
        <v>145041</v>
      </c>
      <c r="G324" s="4">
        <v>2166332376</v>
      </c>
      <c r="H324" s="3">
        <f t="shared" si="44"/>
        <v>-1977007.2999999996</v>
      </c>
      <c r="I324" s="4">
        <f t="shared" si="45"/>
        <v>-29790869872.166008</v>
      </c>
    </row>
    <row r="325" spans="1:9" ht="15" customHeight="1" x14ac:dyDescent="0.2">
      <c r="A325" s="2">
        <v>45068</v>
      </c>
      <c r="C325" s="1" t="s">
        <v>17</v>
      </c>
      <c r="F325" s="17">
        <v>30</v>
      </c>
      <c r="G325" s="4">
        <v>448080</v>
      </c>
      <c r="H325" s="3">
        <f t="shared" si="44"/>
        <v>-1977037.2999999996</v>
      </c>
      <c r="I325" s="4">
        <f t="shared" si="45"/>
        <v>-29791317952.166008</v>
      </c>
    </row>
    <row r="326" spans="1:9" ht="15" customHeight="1" x14ac:dyDescent="0.2">
      <c r="A326" s="2">
        <v>45076</v>
      </c>
      <c r="C326" s="1" t="s">
        <v>272</v>
      </c>
      <c r="D326" s="153">
        <v>25640.400000000001</v>
      </c>
      <c r="E326" s="141">
        <v>401067136.80000001</v>
      </c>
      <c r="F326" s="153"/>
      <c r="G326" s="141"/>
      <c r="H326" s="3">
        <f t="shared" si="44"/>
        <v>-1951396.8999999997</v>
      </c>
      <c r="I326" s="4">
        <f t="shared" si="45"/>
        <v>-29390250815.366009</v>
      </c>
    </row>
    <row r="327" spans="1:9" ht="15" customHeight="1" x14ac:dyDescent="0.2">
      <c r="A327" s="2">
        <v>45076</v>
      </c>
      <c r="C327" s="2" t="s">
        <v>273</v>
      </c>
      <c r="D327" s="115">
        <v>46996.160000000003</v>
      </c>
      <c r="E327" s="140">
        <v>711521862.39999998</v>
      </c>
      <c r="F327" s="115"/>
      <c r="G327" s="140"/>
      <c r="H327" s="6">
        <f t="shared" si="44"/>
        <v>-1904400.7399999998</v>
      </c>
      <c r="I327" s="7">
        <f t="shared" si="45"/>
        <v>-28678728952.966007</v>
      </c>
    </row>
    <row r="328" spans="1:9" ht="15" customHeight="1" x14ac:dyDescent="0.2">
      <c r="A328" s="1"/>
      <c r="D328" s="1"/>
      <c r="E328" s="1"/>
      <c r="F328" s="156"/>
      <c r="G328" s="73"/>
    </row>
    <row r="329" spans="1:9" ht="15" customHeight="1" x14ac:dyDescent="0.2">
      <c r="A329" s="1"/>
      <c r="D329" s="1"/>
      <c r="E329" s="1"/>
      <c r="F329" s="17"/>
      <c r="G329" s="32"/>
    </row>
    <row r="330" spans="1:9" ht="15" customHeight="1" x14ac:dyDescent="0.2">
      <c r="A330" s="2">
        <v>45085</v>
      </c>
      <c r="C330" s="1" t="s">
        <v>307</v>
      </c>
      <c r="D330" s="115">
        <v>41636.559999999998</v>
      </c>
      <c r="E330" s="140">
        <v>630377518.39999998</v>
      </c>
      <c r="F330" s="115"/>
      <c r="G330" s="140"/>
      <c r="H330" s="3">
        <f>+H327+D330-F330</f>
        <v>-1862764.1799999997</v>
      </c>
      <c r="I330" s="4">
        <f>+I327+E330-G330</f>
        <v>-28048351434.566006</v>
      </c>
    </row>
    <row r="331" spans="1:9" ht="15" customHeight="1" x14ac:dyDescent="0.2">
      <c r="A331" s="2">
        <v>45085</v>
      </c>
      <c r="B331" s="2"/>
      <c r="C331" s="1" t="s">
        <v>242</v>
      </c>
      <c r="D331" s="17"/>
      <c r="E331" s="32"/>
      <c r="F331" s="156">
        <v>21627</v>
      </c>
      <c r="G331" s="73">
        <v>321701841.26999998</v>
      </c>
      <c r="H331" s="3">
        <f>+H330+D331-F331</f>
        <v>-1884391.1799999997</v>
      </c>
      <c r="I331" s="4">
        <f>+I330+E331-G331</f>
        <v>-28370053275.836006</v>
      </c>
    </row>
    <row r="332" spans="1:9" ht="15" customHeight="1" x14ac:dyDescent="0.2">
      <c r="A332" s="2">
        <v>45085</v>
      </c>
      <c r="B332" s="2"/>
      <c r="C332" s="1" t="s">
        <v>17</v>
      </c>
      <c r="D332" s="17"/>
      <c r="E332" s="32"/>
      <c r="F332" s="156">
        <v>51</v>
      </c>
      <c r="G332" s="73">
        <v>758625.51</v>
      </c>
      <c r="H332" s="3">
        <f t="shared" ref="H332:H345" si="46">+H331+D332-F332</f>
        <v>-1884442.1799999997</v>
      </c>
      <c r="I332" s="4">
        <f t="shared" ref="I332:I345" si="47">+I331+E332-G332</f>
        <v>-28370811901.346004</v>
      </c>
    </row>
    <row r="333" spans="1:9" ht="15" customHeight="1" x14ac:dyDescent="0.2">
      <c r="A333" s="2">
        <v>45086</v>
      </c>
      <c r="C333" s="1" t="s">
        <v>308</v>
      </c>
      <c r="D333" s="115">
        <v>14772</v>
      </c>
      <c r="E333" s="140">
        <v>227621748</v>
      </c>
      <c r="F333" s="115"/>
      <c r="G333" s="140"/>
      <c r="H333" s="3">
        <f t="shared" si="46"/>
        <v>-1869670.1799999997</v>
      </c>
      <c r="I333" s="4">
        <f t="shared" si="47"/>
        <v>-28143190153.346004</v>
      </c>
    </row>
    <row r="334" spans="1:9" ht="15" customHeight="1" x14ac:dyDescent="0.2">
      <c r="A334" s="2">
        <v>45090</v>
      </c>
      <c r="B334" s="2"/>
      <c r="C334" s="1" t="s">
        <v>295</v>
      </c>
      <c r="D334" s="17"/>
      <c r="E334" s="32"/>
      <c r="F334" s="156">
        <v>18331</v>
      </c>
      <c r="G334" s="73">
        <v>272655294</v>
      </c>
      <c r="H334" s="3">
        <f t="shared" si="46"/>
        <v>-1888001.1799999997</v>
      </c>
      <c r="I334" s="4">
        <f t="shared" si="47"/>
        <v>-28415845447.346004</v>
      </c>
    </row>
    <row r="335" spans="1:9" ht="15" customHeight="1" x14ac:dyDescent="0.2">
      <c r="A335" s="2">
        <v>45090</v>
      </c>
      <c r="B335" s="2"/>
      <c r="C335" s="1" t="s">
        <v>17</v>
      </c>
      <c r="D335" s="17"/>
      <c r="E335" s="32"/>
      <c r="F335" s="156">
        <v>17</v>
      </c>
      <c r="G335" s="73">
        <v>252858</v>
      </c>
      <c r="H335" s="3">
        <f t="shared" si="46"/>
        <v>-1888018.1799999997</v>
      </c>
      <c r="I335" s="4">
        <f t="shared" si="47"/>
        <v>-28416098305.346004</v>
      </c>
    </row>
    <row r="336" spans="1:9" ht="15" customHeight="1" x14ac:dyDescent="0.2">
      <c r="A336" s="2">
        <v>45092</v>
      </c>
      <c r="B336" s="2"/>
      <c r="C336" s="1" t="s">
        <v>309</v>
      </c>
      <c r="D336" s="172">
        <v>10000</v>
      </c>
      <c r="E336" s="173">
        <v>153800000</v>
      </c>
      <c r="F336" s="172"/>
      <c r="G336" s="140"/>
      <c r="H336" s="3">
        <f t="shared" si="46"/>
        <v>-1878018.1799999997</v>
      </c>
      <c r="I336" s="4">
        <f t="shared" si="47"/>
        <v>-28262298305.346004</v>
      </c>
    </row>
    <row r="337" spans="1:9" ht="15" customHeight="1" x14ac:dyDescent="0.2">
      <c r="A337" s="2">
        <v>45092</v>
      </c>
      <c r="B337" s="2"/>
      <c r="C337" s="1" t="s">
        <v>310</v>
      </c>
      <c r="D337" s="142">
        <v>20000</v>
      </c>
      <c r="E337" s="174">
        <v>298660000</v>
      </c>
      <c r="F337" s="142"/>
      <c r="G337" s="152"/>
      <c r="H337" s="3">
        <f t="shared" si="46"/>
        <v>-1858018.1799999997</v>
      </c>
      <c r="I337" s="4">
        <f t="shared" si="47"/>
        <v>-27963638305.346004</v>
      </c>
    </row>
    <row r="338" spans="1:9" ht="15" customHeight="1" x14ac:dyDescent="0.2">
      <c r="A338" s="2">
        <v>45092</v>
      </c>
      <c r="B338" s="2"/>
      <c r="C338" s="1" t="s">
        <v>311</v>
      </c>
      <c r="D338" s="175">
        <v>94308.85</v>
      </c>
      <c r="E338" s="174">
        <v>1409257145.55</v>
      </c>
      <c r="F338" s="175"/>
      <c r="G338" s="152"/>
      <c r="H338" s="3">
        <f t="shared" si="46"/>
        <v>-1763709.3299999996</v>
      </c>
      <c r="I338" s="4">
        <f t="shared" si="47"/>
        <v>-26554381159.796005</v>
      </c>
    </row>
    <row r="339" spans="1:9" ht="15" customHeight="1" x14ac:dyDescent="0.2">
      <c r="A339" s="2">
        <v>45092</v>
      </c>
      <c r="B339" s="2"/>
      <c r="C339" s="1" t="s">
        <v>310</v>
      </c>
      <c r="D339" s="142">
        <v>23000</v>
      </c>
      <c r="E339" s="174">
        <v>343459000</v>
      </c>
      <c r="F339" s="142"/>
      <c r="G339" s="152"/>
      <c r="H339" s="3">
        <f t="shared" si="46"/>
        <v>-1740709.3299999996</v>
      </c>
      <c r="I339" s="4">
        <f t="shared" si="47"/>
        <v>-26210922159.796005</v>
      </c>
    </row>
    <row r="340" spans="1:9" ht="15" customHeight="1" x14ac:dyDescent="0.2">
      <c r="A340" s="2">
        <v>45098</v>
      </c>
      <c r="B340" s="2"/>
      <c r="C340" s="1" t="s">
        <v>312</v>
      </c>
      <c r="D340" s="172">
        <v>14772</v>
      </c>
      <c r="E340" s="173">
        <v>228862596</v>
      </c>
      <c r="F340" s="172"/>
      <c r="G340" s="141"/>
      <c r="H340" s="3">
        <f t="shared" si="46"/>
        <v>-1725937.3299999996</v>
      </c>
      <c r="I340" s="4">
        <f t="shared" si="47"/>
        <v>-25982059563.796005</v>
      </c>
    </row>
    <row r="341" spans="1:9" ht="15" customHeight="1" x14ac:dyDescent="0.2">
      <c r="A341" s="2">
        <v>45103</v>
      </c>
      <c r="C341" s="1" t="s">
        <v>310</v>
      </c>
      <c r="D341" s="142">
        <v>23000</v>
      </c>
      <c r="E341" s="174">
        <v>343459000</v>
      </c>
      <c r="F341" s="142"/>
      <c r="G341" s="152"/>
      <c r="H341" s="3">
        <f t="shared" si="46"/>
        <v>-1702937.3299999996</v>
      </c>
      <c r="I341" s="4">
        <f t="shared" si="47"/>
        <v>-25638600563.796005</v>
      </c>
    </row>
    <row r="342" spans="1:9" ht="15" customHeight="1" x14ac:dyDescent="0.2">
      <c r="A342" s="2">
        <v>45104</v>
      </c>
      <c r="B342" s="2"/>
      <c r="C342" s="1" t="s">
        <v>310</v>
      </c>
      <c r="D342" s="142">
        <v>23000</v>
      </c>
      <c r="E342" s="174">
        <v>343459000</v>
      </c>
      <c r="F342" s="142"/>
      <c r="G342" s="137"/>
      <c r="H342" s="3">
        <f t="shared" si="46"/>
        <v>-1679937.3299999996</v>
      </c>
      <c r="I342" s="4">
        <f t="shared" si="47"/>
        <v>-25295141563.796005</v>
      </c>
    </row>
    <row r="343" spans="1:9" ht="15" customHeight="1" x14ac:dyDescent="0.2">
      <c r="A343" s="2">
        <v>45105</v>
      </c>
      <c r="B343" s="2"/>
      <c r="C343" s="1" t="s">
        <v>310</v>
      </c>
      <c r="D343" s="142">
        <v>20909.599999999999</v>
      </c>
      <c r="E343" s="174">
        <v>312243056.80000001</v>
      </c>
      <c r="F343" s="142"/>
      <c r="G343" s="140"/>
      <c r="H343" s="3">
        <f t="shared" si="46"/>
        <v>-1659027.7299999995</v>
      </c>
      <c r="I343" s="4">
        <f t="shared" si="47"/>
        <v>-24982898506.996006</v>
      </c>
    </row>
    <row r="344" spans="1:9" ht="15" customHeight="1" x14ac:dyDescent="0.2">
      <c r="A344" s="2">
        <v>45105</v>
      </c>
      <c r="B344" s="2"/>
      <c r="C344" s="1" t="s">
        <v>313</v>
      </c>
      <c r="D344" s="176">
        <v>20000</v>
      </c>
      <c r="E344" s="177">
        <v>298720000</v>
      </c>
      <c r="F344" s="178"/>
      <c r="G344" s="73"/>
      <c r="H344" s="3">
        <f t="shared" si="46"/>
        <v>-1639027.7299999995</v>
      </c>
      <c r="I344" s="4">
        <f t="shared" si="47"/>
        <v>-24684178506.996006</v>
      </c>
    </row>
    <row r="345" spans="1:9" ht="15" customHeight="1" x14ac:dyDescent="0.2">
      <c r="A345" s="2">
        <v>45105</v>
      </c>
      <c r="B345" s="2"/>
      <c r="C345" s="1" t="s">
        <v>313</v>
      </c>
      <c r="D345" s="17">
        <v>20000</v>
      </c>
      <c r="E345" s="32">
        <v>298720000</v>
      </c>
      <c r="F345" s="17"/>
      <c r="G345" s="32"/>
      <c r="H345" s="6">
        <f t="shared" si="46"/>
        <v>-1619027.7299999995</v>
      </c>
      <c r="I345" s="7">
        <f t="shared" si="47"/>
        <v>-24385458506.996006</v>
      </c>
    </row>
    <row r="348" spans="1:9" ht="15" customHeight="1" x14ac:dyDescent="0.2">
      <c r="D348" s="17"/>
    </row>
    <row r="349" spans="1:9" ht="15" customHeight="1" x14ac:dyDescent="0.2">
      <c r="A349" s="2">
        <v>45112</v>
      </c>
      <c r="C349" s="1" t="s">
        <v>343</v>
      </c>
      <c r="D349" s="115">
        <v>15172</v>
      </c>
      <c r="E349" s="140">
        <v>235059796</v>
      </c>
      <c r="F349" s="115"/>
      <c r="G349" s="140"/>
      <c r="H349" s="3">
        <f>+H345+D349-F349</f>
        <v>-1603855.7299999995</v>
      </c>
      <c r="I349" s="4">
        <f>+I345+E349-G349</f>
        <v>-24150398710.996006</v>
      </c>
    </row>
    <row r="350" spans="1:9" ht="15" customHeight="1" x14ac:dyDescent="0.2">
      <c r="A350" s="2">
        <v>45113</v>
      </c>
      <c r="B350" s="2"/>
      <c r="C350" s="1" t="s">
        <v>328</v>
      </c>
      <c r="D350" s="17"/>
      <c r="F350" s="156">
        <v>18331</v>
      </c>
      <c r="G350" s="25">
        <v>275203303</v>
      </c>
      <c r="H350" s="3">
        <f t="shared" ref="H350:H363" si="48">+H349+D350-F350</f>
        <v>-1622186.7299999995</v>
      </c>
      <c r="I350" s="4">
        <f t="shared" ref="I350:I363" si="49">+I349+E350-G350</f>
        <v>-24425602013.996006</v>
      </c>
    </row>
    <row r="351" spans="1:9" ht="15" customHeight="1" x14ac:dyDescent="0.2">
      <c r="A351" s="2">
        <v>45113</v>
      </c>
      <c r="B351" s="2"/>
      <c r="C351" s="1" t="s">
        <v>17</v>
      </c>
      <c r="D351" s="17"/>
      <c r="F351" s="156">
        <v>17</v>
      </c>
      <c r="G351" s="25">
        <v>255221</v>
      </c>
      <c r="H351" s="3">
        <f t="shared" si="48"/>
        <v>-1622203.7299999995</v>
      </c>
      <c r="I351" s="4">
        <f t="shared" si="49"/>
        <v>-24425857234.996006</v>
      </c>
    </row>
    <row r="352" spans="1:9" ht="15" customHeight="1" x14ac:dyDescent="0.2">
      <c r="A352" s="2">
        <v>45114</v>
      </c>
      <c r="C352" s="1" t="s">
        <v>191</v>
      </c>
      <c r="F352" s="3">
        <v>148034.4</v>
      </c>
      <c r="G352" s="4">
        <v>2229694132.8000002</v>
      </c>
      <c r="H352" s="3">
        <f t="shared" si="48"/>
        <v>-1770238.1299999994</v>
      </c>
      <c r="I352" s="4">
        <f t="shared" si="49"/>
        <v>-26655551367.796005</v>
      </c>
    </row>
    <row r="353" spans="1:9" ht="15" customHeight="1" x14ac:dyDescent="0.2">
      <c r="A353" s="2">
        <v>45114</v>
      </c>
      <c r="B353" s="2"/>
      <c r="C353" s="1" t="s">
        <v>17</v>
      </c>
      <c r="D353" s="17"/>
      <c r="E353" s="32"/>
      <c r="F353" s="156">
        <v>30</v>
      </c>
      <c r="G353" s="73">
        <v>451860</v>
      </c>
      <c r="H353" s="3">
        <f t="shared" si="48"/>
        <v>-1770268.1299999994</v>
      </c>
      <c r="I353" s="4">
        <f t="shared" si="49"/>
        <v>-26656003227.796005</v>
      </c>
    </row>
    <row r="354" spans="1:9" ht="15" customHeight="1" x14ac:dyDescent="0.2">
      <c r="A354" s="2">
        <v>45118</v>
      </c>
      <c r="B354" s="2"/>
      <c r="C354" s="1" t="s">
        <v>344</v>
      </c>
      <c r="D354" s="17">
        <v>21678</v>
      </c>
      <c r="E354" s="32">
        <v>322460466.77999997</v>
      </c>
      <c r="F354" s="156"/>
      <c r="G354" s="73"/>
      <c r="H354" s="3">
        <f t="shared" si="48"/>
        <v>-1748590.1299999994</v>
      </c>
      <c r="I354" s="4">
        <f t="shared" si="49"/>
        <v>-26333542761.016006</v>
      </c>
    </row>
    <row r="355" spans="1:9" ht="15" customHeight="1" x14ac:dyDescent="0.2">
      <c r="A355" s="2">
        <v>45121</v>
      </c>
      <c r="C355" s="1" t="s">
        <v>345</v>
      </c>
      <c r="D355" s="115">
        <v>15172</v>
      </c>
      <c r="E355" s="140">
        <v>236258384</v>
      </c>
      <c r="F355" s="156"/>
      <c r="G355" s="73"/>
      <c r="H355" s="3">
        <f t="shared" si="48"/>
        <v>-1733418.1299999994</v>
      </c>
      <c r="I355" s="4">
        <f t="shared" si="49"/>
        <v>-26097284377.016006</v>
      </c>
    </row>
    <row r="356" spans="1:9" ht="15" customHeight="1" x14ac:dyDescent="0.2">
      <c r="A356" s="2">
        <v>45125</v>
      </c>
      <c r="C356" s="1" t="s">
        <v>345</v>
      </c>
      <c r="D356" s="115">
        <v>14772</v>
      </c>
      <c r="E356" s="140">
        <v>230029584</v>
      </c>
      <c r="F356" s="115"/>
      <c r="G356" s="140"/>
      <c r="H356" s="3">
        <f t="shared" si="48"/>
        <v>-1718646.1299999994</v>
      </c>
      <c r="I356" s="4">
        <f t="shared" si="49"/>
        <v>-25867254793.016006</v>
      </c>
    </row>
    <row r="357" spans="1:9" ht="15" customHeight="1" x14ac:dyDescent="0.2">
      <c r="A357" s="2">
        <v>45127</v>
      </c>
      <c r="C357" s="1" t="s">
        <v>346</v>
      </c>
      <c r="D357" s="176">
        <v>44670</v>
      </c>
      <c r="E357" s="32">
        <v>654906870</v>
      </c>
      <c r="F357" s="164"/>
      <c r="G357" s="32"/>
      <c r="H357" s="3">
        <f t="shared" si="48"/>
        <v>-1673976.1299999994</v>
      </c>
      <c r="I357" s="4">
        <f t="shared" si="49"/>
        <v>-25212347923.016006</v>
      </c>
    </row>
    <row r="358" spans="1:9" ht="15" customHeight="1" x14ac:dyDescent="0.2">
      <c r="A358" s="2">
        <v>45127</v>
      </c>
      <c r="B358" s="2"/>
      <c r="C358" s="1" t="s">
        <v>347</v>
      </c>
      <c r="D358" s="17">
        <v>48000</v>
      </c>
      <c r="E358" s="32">
        <v>716928000</v>
      </c>
      <c r="F358" s="17"/>
      <c r="G358" s="32"/>
      <c r="H358" s="3">
        <f t="shared" si="48"/>
        <v>-1625976.1299999994</v>
      </c>
      <c r="I358" s="4">
        <f t="shared" si="49"/>
        <v>-24495419923.016006</v>
      </c>
    </row>
    <row r="359" spans="1:9" ht="15" customHeight="1" x14ac:dyDescent="0.2">
      <c r="A359" s="2">
        <v>45133</v>
      </c>
      <c r="C359" s="1" t="s">
        <v>347</v>
      </c>
      <c r="D359" s="17">
        <v>26000</v>
      </c>
      <c r="E359" s="32">
        <v>388336000</v>
      </c>
      <c r="F359" s="17"/>
      <c r="G359" s="32"/>
      <c r="H359" s="3">
        <f t="shared" si="48"/>
        <v>-1599976.1299999994</v>
      </c>
      <c r="I359" s="4">
        <f t="shared" si="49"/>
        <v>-24107083923.016006</v>
      </c>
    </row>
    <row r="360" spans="1:9" ht="15" customHeight="1" x14ac:dyDescent="0.2">
      <c r="A360" s="2">
        <v>45134</v>
      </c>
      <c r="C360" s="1" t="s">
        <v>347</v>
      </c>
      <c r="D360" s="17">
        <v>10000</v>
      </c>
      <c r="E360" s="32">
        <v>149360000</v>
      </c>
      <c r="F360" s="17"/>
      <c r="G360" s="32"/>
      <c r="H360" s="3">
        <f t="shared" si="48"/>
        <v>-1589976.1299999994</v>
      </c>
      <c r="I360" s="4">
        <f t="shared" si="49"/>
        <v>-23957723923.016006</v>
      </c>
    </row>
    <row r="361" spans="1:9" ht="15" customHeight="1" x14ac:dyDescent="0.2">
      <c r="A361" s="2">
        <v>45134</v>
      </c>
      <c r="C361" s="1" t="s">
        <v>348</v>
      </c>
      <c r="D361" s="3">
        <v>20000</v>
      </c>
      <c r="E361" s="4">
        <v>301240000</v>
      </c>
      <c r="H361" s="3">
        <f t="shared" si="48"/>
        <v>-1569976.1299999994</v>
      </c>
      <c r="I361" s="4">
        <f t="shared" si="49"/>
        <v>-23656483923.016006</v>
      </c>
    </row>
    <row r="362" spans="1:9" ht="15" customHeight="1" x14ac:dyDescent="0.2">
      <c r="A362" s="2">
        <v>45135</v>
      </c>
      <c r="C362" s="1" t="s">
        <v>348</v>
      </c>
      <c r="D362" s="17">
        <v>20000</v>
      </c>
      <c r="E362" s="32">
        <v>301240000</v>
      </c>
      <c r="F362" s="17"/>
      <c r="H362" s="3">
        <f t="shared" si="48"/>
        <v>-1549976.1299999994</v>
      </c>
      <c r="I362" s="4">
        <f t="shared" si="49"/>
        <v>-23355243923.016006</v>
      </c>
    </row>
    <row r="363" spans="1:9" ht="15" customHeight="1" x14ac:dyDescent="0.2">
      <c r="A363" s="2">
        <v>45135</v>
      </c>
      <c r="C363" s="1" t="s">
        <v>348</v>
      </c>
      <c r="D363" s="3">
        <v>20000</v>
      </c>
      <c r="E363" s="4">
        <v>301240000</v>
      </c>
      <c r="H363" s="3">
        <f t="shared" si="48"/>
        <v>-1529976.1299999994</v>
      </c>
      <c r="I363" s="4">
        <f t="shared" si="49"/>
        <v>-23054003923.016006</v>
      </c>
    </row>
    <row r="364" spans="1:9" ht="15" customHeight="1" x14ac:dyDescent="0.2">
      <c r="A364" s="2">
        <v>45138</v>
      </c>
      <c r="B364" s="2"/>
      <c r="C364" s="1" t="s">
        <v>191</v>
      </c>
      <c r="D364" s="17"/>
      <c r="F364" s="156">
        <v>99562.4</v>
      </c>
      <c r="G364" s="25">
        <v>1501699679.2</v>
      </c>
      <c r="H364" s="3">
        <f t="shared" ref="H364:H365" si="50">+H363+D364-F364</f>
        <v>-1629538.5299999993</v>
      </c>
      <c r="I364" s="4">
        <f t="shared" ref="I364:I365" si="51">+I363+E364-G364</f>
        <v>-24555703602.216007</v>
      </c>
    </row>
    <row r="365" spans="1:9" ht="15" customHeight="1" x14ac:dyDescent="0.2">
      <c r="A365" s="2">
        <v>45138</v>
      </c>
      <c r="B365" s="2"/>
      <c r="C365" s="1" t="s">
        <v>17</v>
      </c>
      <c r="D365" s="17"/>
      <c r="F365" s="156">
        <v>30</v>
      </c>
      <c r="G365" s="25">
        <v>452490</v>
      </c>
      <c r="H365" s="6">
        <f t="shared" si="50"/>
        <v>-1629568.5299999993</v>
      </c>
      <c r="I365" s="7">
        <f t="shared" si="51"/>
        <v>-24556156092.216007</v>
      </c>
    </row>
    <row r="366" spans="1:9" ht="15" customHeight="1" x14ac:dyDescent="0.2">
      <c r="B366" s="2"/>
      <c r="D366" s="17"/>
      <c r="F366" s="156"/>
      <c r="G366" s="25"/>
    </row>
    <row r="367" spans="1:9" ht="15" customHeight="1" x14ac:dyDescent="0.2">
      <c r="B367" s="2"/>
      <c r="D367" s="17"/>
      <c r="F367" s="156"/>
      <c r="G367" s="25"/>
    </row>
    <row r="368" spans="1:9" ht="15" customHeight="1" x14ac:dyDescent="0.2">
      <c r="B368" s="2"/>
      <c r="D368" s="17"/>
      <c r="E368" s="32"/>
      <c r="F368" s="156"/>
      <c r="G368" s="25"/>
    </row>
    <row r="369" spans="1:12" ht="15" customHeight="1" x14ac:dyDescent="0.2">
      <c r="A369" s="2">
        <v>45140</v>
      </c>
      <c r="B369" s="2"/>
      <c r="C369" s="1" t="s">
        <v>369</v>
      </c>
      <c r="D369" s="118">
        <v>3000</v>
      </c>
      <c r="E369" s="152">
        <v>46122000</v>
      </c>
      <c r="H369" s="3">
        <f>+H365+D369-F369</f>
        <v>-1626568.5299999993</v>
      </c>
      <c r="I369" s="4">
        <f>+I365+E369-G369</f>
        <v>-24510034092.216007</v>
      </c>
    </row>
    <row r="370" spans="1:12" ht="15" customHeight="1" x14ac:dyDescent="0.2">
      <c r="A370" s="2">
        <v>45140</v>
      </c>
      <c r="B370" s="2"/>
      <c r="C370" s="1" t="s">
        <v>369</v>
      </c>
      <c r="D370" s="118">
        <v>10000</v>
      </c>
      <c r="E370" s="152">
        <v>153740000</v>
      </c>
      <c r="H370" s="3">
        <f>+H369+D370-F370</f>
        <v>-1616568.5299999993</v>
      </c>
      <c r="I370" s="4">
        <f>+I369+E370-G370</f>
        <v>-24356294092.216007</v>
      </c>
    </row>
    <row r="371" spans="1:12" ht="15" customHeight="1" x14ac:dyDescent="0.2">
      <c r="A371" s="2">
        <v>45141</v>
      </c>
      <c r="B371" s="2"/>
      <c r="C371" s="1" t="s">
        <v>365</v>
      </c>
      <c r="D371" s="156">
        <v>30000</v>
      </c>
      <c r="E371" s="73">
        <v>452490000</v>
      </c>
      <c r="F371" s="156"/>
      <c r="G371" s="73"/>
      <c r="H371" s="3">
        <f t="shared" ref="H371:H386" si="52">+H370+D371-F371</f>
        <v>-1586568.5299999993</v>
      </c>
      <c r="I371" s="4">
        <f t="shared" ref="I371:I386" si="53">+I370+E371-G371</f>
        <v>-23903804092.216007</v>
      </c>
    </row>
    <row r="372" spans="1:12" ht="15" customHeight="1" x14ac:dyDescent="0.2">
      <c r="A372" s="2">
        <v>45145</v>
      </c>
      <c r="C372" s="1" t="s">
        <v>348</v>
      </c>
      <c r="D372" s="17">
        <v>20000</v>
      </c>
      <c r="E372" s="32">
        <v>301240000</v>
      </c>
      <c r="H372" s="3">
        <f t="shared" si="52"/>
        <v>-1566568.5299999993</v>
      </c>
      <c r="I372" s="4">
        <f t="shared" si="53"/>
        <v>-23602564092.216007</v>
      </c>
    </row>
    <row r="373" spans="1:12" ht="15" customHeight="1" x14ac:dyDescent="0.2">
      <c r="A373" s="2">
        <v>45146</v>
      </c>
      <c r="B373" s="2"/>
      <c r="C373" s="1" t="s">
        <v>366</v>
      </c>
      <c r="D373" s="156">
        <v>18348</v>
      </c>
      <c r="E373" s="73">
        <v>272908152</v>
      </c>
      <c r="F373" s="1"/>
      <c r="G373" s="1"/>
      <c r="H373" s="3">
        <f t="shared" si="52"/>
        <v>-1548220.5299999993</v>
      </c>
      <c r="I373" s="4">
        <f t="shared" si="53"/>
        <v>-23329655940.216007</v>
      </c>
      <c r="K373" s="1"/>
      <c r="L373" s="1"/>
    </row>
    <row r="374" spans="1:12" ht="15" customHeight="1" x14ac:dyDescent="0.2">
      <c r="A374" s="2">
        <v>45153</v>
      </c>
      <c r="B374" s="2"/>
      <c r="C374" s="1" t="s">
        <v>328</v>
      </c>
      <c r="D374" s="17"/>
      <c r="E374" s="32"/>
      <c r="F374" s="156">
        <v>17815</v>
      </c>
      <c r="G374" s="25">
        <v>272979245</v>
      </c>
      <c r="H374" s="3">
        <f t="shared" si="52"/>
        <v>-1566035.5299999993</v>
      </c>
      <c r="I374" s="4">
        <f t="shared" si="53"/>
        <v>-23602635185.216007</v>
      </c>
    </row>
    <row r="375" spans="1:12" ht="15" customHeight="1" x14ac:dyDescent="0.2">
      <c r="A375" s="2">
        <v>45153</v>
      </c>
      <c r="B375" s="2"/>
      <c r="C375" s="1" t="s">
        <v>17</v>
      </c>
      <c r="D375" s="17"/>
      <c r="E375" s="32"/>
      <c r="F375" s="156">
        <v>17</v>
      </c>
      <c r="G375" s="25">
        <v>260491</v>
      </c>
      <c r="H375" s="3">
        <f t="shared" si="52"/>
        <v>-1566052.5299999993</v>
      </c>
      <c r="I375" s="4">
        <f t="shared" si="53"/>
        <v>-23602895676.216007</v>
      </c>
    </row>
    <row r="376" spans="1:12" ht="15" customHeight="1" x14ac:dyDescent="0.2">
      <c r="A376" s="2">
        <v>45154</v>
      </c>
      <c r="C376" s="1" t="s">
        <v>371</v>
      </c>
      <c r="D376" s="176">
        <v>23070</v>
      </c>
      <c r="E376" s="32">
        <v>340443990</v>
      </c>
      <c r="H376" s="3">
        <f t="shared" si="52"/>
        <v>-1542982.5299999993</v>
      </c>
      <c r="I376" s="4">
        <f t="shared" si="53"/>
        <v>-23262451686.216007</v>
      </c>
    </row>
    <row r="377" spans="1:12" ht="15" customHeight="1" x14ac:dyDescent="0.2">
      <c r="A377" s="2">
        <v>45163</v>
      </c>
      <c r="C377" s="1" t="s">
        <v>373</v>
      </c>
      <c r="D377" s="17">
        <v>12000</v>
      </c>
      <c r="E377" s="32">
        <v>180744000</v>
      </c>
      <c r="F377" s="1"/>
      <c r="G377" s="1"/>
      <c r="H377" s="3">
        <f t="shared" si="52"/>
        <v>-1530982.5299999993</v>
      </c>
      <c r="I377" s="4">
        <f t="shared" si="53"/>
        <v>-23081707686.216007</v>
      </c>
    </row>
    <row r="378" spans="1:12" ht="15" customHeight="1" x14ac:dyDescent="0.2">
      <c r="A378" s="2">
        <v>45163</v>
      </c>
      <c r="B378" s="2"/>
      <c r="C378" s="1" t="s">
        <v>361</v>
      </c>
      <c r="D378" s="156">
        <v>12000</v>
      </c>
      <c r="E378" s="73">
        <v>180996000</v>
      </c>
      <c r="F378" s="1"/>
      <c r="G378" s="1"/>
      <c r="H378" s="3">
        <f t="shared" si="52"/>
        <v>-1518982.5299999993</v>
      </c>
      <c r="I378" s="4">
        <f t="shared" si="53"/>
        <v>-22900711686.216007</v>
      </c>
    </row>
    <row r="379" spans="1:12" ht="15" customHeight="1" x14ac:dyDescent="0.2">
      <c r="A379" s="2">
        <v>45163</v>
      </c>
      <c r="C379" s="1" t="s">
        <v>373</v>
      </c>
      <c r="D379" s="17">
        <v>10000</v>
      </c>
      <c r="E379" s="32">
        <v>150620000</v>
      </c>
      <c r="H379" s="3">
        <f t="shared" si="52"/>
        <v>-1508982.5299999993</v>
      </c>
      <c r="I379" s="4">
        <f t="shared" si="53"/>
        <v>-22750091686.216007</v>
      </c>
    </row>
    <row r="380" spans="1:12" ht="15" customHeight="1" x14ac:dyDescent="0.2">
      <c r="A380" s="2">
        <v>45163</v>
      </c>
      <c r="B380" s="2"/>
      <c r="C380" s="1" t="s">
        <v>361</v>
      </c>
      <c r="D380" s="156">
        <v>12000</v>
      </c>
      <c r="E380" s="73">
        <v>180996000</v>
      </c>
      <c r="H380" s="3">
        <f t="shared" si="52"/>
        <v>-1496982.5299999993</v>
      </c>
      <c r="I380" s="4">
        <f t="shared" si="53"/>
        <v>-22569095686.216007</v>
      </c>
    </row>
    <row r="381" spans="1:12" ht="15" customHeight="1" x14ac:dyDescent="0.2">
      <c r="A381" s="2">
        <v>45161</v>
      </c>
      <c r="B381" s="2"/>
      <c r="C381" s="1" t="s">
        <v>308</v>
      </c>
      <c r="D381" s="17">
        <v>14772</v>
      </c>
      <c r="E381" s="32">
        <v>227621748</v>
      </c>
      <c r="H381" s="3">
        <f t="shared" si="52"/>
        <v>-1482210.5299999993</v>
      </c>
      <c r="I381" s="4">
        <f t="shared" si="53"/>
        <v>-22341473938.216007</v>
      </c>
    </row>
    <row r="382" spans="1:12" ht="15" customHeight="1" x14ac:dyDescent="0.2">
      <c r="A382" s="2">
        <v>45161</v>
      </c>
      <c r="C382" s="1" t="s">
        <v>312</v>
      </c>
      <c r="D382" s="115">
        <v>14772</v>
      </c>
      <c r="E382" s="140">
        <v>228862596</v>
      </c>
      <c r="H382" s="3">
        <f t="shared" si="52"/>
        <v>-1467438.5299999993</v>
      </c>
      <c r="I382" s="4">
        <f t="shared" si="53"/>
        <v>-22112611342.216007</v>
      </c>
    </row>
    <row r="383" spans="1:12" ht="15" customHeight="1" x14ac:dyDescent="0.2">
      <c r="A383" s="2">
        <v>45167</v>
      </c>
      <c r="C383" s="1" t="s">
        <v>373</v>
      </c>
      <c r="D383" s="17">
        <v>6000</v>
      </c>
      <c r="E383" s="32">
        <v>90372000</v>
      </c>
      <c r="H383" s="3">
        <f t="shared" si="52"/>
        <v>-1461438.5299999993</v>
      </c>
      <c r="I383" s="4">
        <f t="shared" si="53"/>
        <v>-22022239342.216007</v>
      </c>
    </row>
    <row r="384" spans="1:12" ht="15" customHeight="1" x14ac:dyDescent="0.2">
      <c r="A384" s="2">
        <v>45167</v>
      </c>
      <c r="B384" s="2"/>
      <c r="C384" s="1" t="s">
        <v>361</v>
      </c>
      <c r="D384" s="156">
        <v>10000</v>
      </c>
      <c r="E384" s="73">
        <v>150830000</v>
      </c>
      <c r="H384" s="3">
        <f t="shared" si="52"/>
        <v>-1451438.5299999993</v>
      </c>
      <c r="I384" s="4">
        <f t="shared" si="53"/>
        <v>-21871409342.216007</v>
      </c>
    </row>
    <row r="385" spans="1:9" ht="15" customHeight="1" x14ac:dyDescent="0.2">
      <c r="A385" s="2">
        <v>45168</v>
      </c>
      <c r="C385" s="1" t="s">
        <v>373</v>
      </c>
      <c r="D385" s="17">
        <v>10000</v>
      </c>
      <c r="E385" s="32">
        <v>150620000</v>
      </c>
      <c r="H385" s="3">
        <f t="shared" si="52"/>
        <v>-1441438.5299999993</v>
      </c>
      <c r="I385" s="4">
        <f t="shared" si="53"/>
        <v>-21720789342.216007</v>
      </c>
    </row>
    <row r="386" spans="1:9" ht="15" customHeight="1" x14ac:dyDescent="0.2">
      <c r="A386" s="2">
        <v>45168</v>
      </c>
      <c r="B386" s="2"/>
      <c r="C386" s="1" t="s">
        <v>361</v>
      </c>
      <c r="D386" s="156">
        <v>12000</v>
      </c>
      <c r="E386" s="73">
        <v>180996000</v>
      </c>
      <c r="H386" s="6">
        <f t="shared" si="52"/>
        <v>-1429438.5299999993</v>
      </c>
      <c r="I386" s="7">
        <f t="shared" si="53"/>
        <v>-21539793342.216007</v>
      </c>
    </row>
    <row r="387" spans="1:9" ht="15" customHeight="1" x14ac:dyDescent="0.2">
      <c r="F387" s="17"/>
    </row>
    <row r="388" spans="1:9" ht="15" customHeight="1" x14ac:dyDescent="0.2">
      <c r="F388" s="17"/>
    </row>
    <row r="389" spans="1:9" ht="15" customHeight="1" x14ac:dyDescent="0.2">
      <c r="F389" s="17"/>
      <c r="G389" s="32"/>
    </row>
    <row r="390" spans="1:9" ht="15" customHeight="1" x14ac:dyDescent="0.2">
      <c r="A390" s="2">
        <v>45175</v>
      </c>
      <c r="C390" s="1" t="s">
        <v>387</v>
      </c>
      <c r="D390" s="212">
        <v>14772</v>
      </c>
      <c r="E390" s="140">
        <v>230029584</v>
      </c>
      <c r="F390" s="116"/>
      <c r="G390" s="140"/>
      <c r="H390" s="3">
        <f>+H386+D390-F390</f>
        <v>-1414666.5299999993</v>
      </c>
      <c r="I390" s="4">
        <f>+I386+E390-G390</f>
        <v>-21309763758.216007</v>
      </c>
    </row>
    <row r="391" spans="1:9" ht="15" customHeight="1" x14ac:dyDescent="0.2">
      <c r="A391" s="2">
        <v>45176</v>
      </c>
      <c r="B391" s="2"/>
      <c r="C391" s="1" t="s">
        <v>390</v>
      </c>
      <c r="D391" s="156">
        <v>18348</v>
      </c>
      <c r="E391" s="73">
        <v>275458524</v>
      </c>
      <c r="F391" s="156"/>
      <c r="G391" s="73"/>
      <c r="H391" s="3">
        <f t="shared" ref="H391:H403" si="54">+H390+D391-F391</f>
        <v>-1396318.5299999993</v>
      </c>
      <c r="I391" s="4">
        <f t="shared" ref="I391:I403" si="55">+I390+E391-G391</f>
        <v>-21034305234.216007</v>
      </c>
    </row>
    <row r="392" spans="1:9" ht="15" customHeight="1" x14ac:dyDescent="0.2">
      <c r="A392" s="2">
        <v>45177</v>
      </c>
      <c r="C392" s="1" t="s">
        <v>191</v>
      </c>
      <c r="F392" s="17">
        <v>139611.79999999999</v>
      </c>
      <c r="G392" s="32">
        <v>2140807341.2</v>
      </c>
      <c r="H392" s="3">
        <f t="shared" si="54"/>
        <v>-1535930.3299999994</v>
      </c>
      <c r="I392" s="4">
        <f t="shared" si="55"/>
        <v>-23175112575.416008</v>
      </c>
    </row>
    <row r="393" spans="1:9" ht="15" customHeight="1" x14ac:dyDescent="0.2">
      <c r="A393" s="2">
        <v>45177</v>
      </c>
      <c r="C393" s="1" t="s">
        <v>17</v>
      </c>
      <c r="F393" s="17">
        <v>30</v>
      </c>
      <c r="G393" s="32">
        <v>460020</v>
      </c>
      <c r="H393" s="3">
        <f t="shared" si="54"/>
        <v>-1535960.3299999994</v>
      </c>
      <c r="I393" s="4">
        <f t="shared" si="55"/>
        <v>-23175572595.416008</v>
      </c>
    </row>
    <row r="394" spans="1:9" ht="15" customHeight="1" x14ac:dyDescent="0.2">
      <c r="A394" s="2">
        <v>45177</v>
      </c>
      <c r="C394" s="1" t="s">
        <v>394</v>
      </c>
      <c r="D394" s="17">
        <v>30000</v>
      </c>
      <c r="E394" s="32">
        <v>461490000</v>
      </c>
      <c r="F394" s="17"/>
      <c r="G394" s="32"/>
      <c r="H394" s="3">
        <f t="shared" si="54"/>
        <v>-1505960.3299999994</v>
      </c>
      <c r="I394" s="4">
        <f t="shared" si="55"/>
        <v>-22714082595.416008</v>
      </c>
    </row>
    <row r="395" spans="1:9" ht="15" customHeight="1" x14ac:dyDescent="0.2">
      <c r="A395" s="2">
        <v>45177</v>
      </c>
      <c r="C395" s="1" t="s">
        <v>394</v>
      </c>
      <c r="D395" s="176">
        <v>18000</v>
      </c>
      <c r="E395" s="177">
        <v>276894000</v>
      </c>
      <c r="F395" s="17"/>
      <c r="G395" s="32"/>
      <c r="H395" s="3">
        <f t="shared" si="54"/>
        <v>-1487960.3299999994</v>
      </c>
      <c r="I395" s="4">
        <f t="shared" si="55"/>
        <v>-22437188595.416008</v>
      </c>
    </row>
    <row r="396" spans="1:9" ht="15" customHeight="1" x14ac:dyDescent="0.2">
      <c r="A396" s="2">
        <v>45177</v>
      </c>
      <c r="C396" s="1" t="s">
        <v>394</v>
      </c>
      <c r="D396" s="17">
        <v>30000</v>
      </c>
      <c r="E396" s="32">
        <v>461490000</v>
      </c>
      <c r="F396" s="17"/>
      <c r="G396" s="32"/>
      <c r="H396" s="3">
        <f t="shared" si="54"/>
        <v>-1457960.3299999994</v>
      </c>
      <c r="I396" s="4">
        <f t="shared" si="55"/>
        <v>-21975698595.416008</v>
      </c>
    </row>
    <row r="397" spans="1:9" ht="15" customHeight="1" x14ac:dyDescent="0.2">
      <c r="A397" s="2">
        <v>45181</v>
      </c>
      <c r="C397" s="1" t="s">
        <v>191</v>
      </c>
      <c r="D397" s="17"/>
      <c r="E397" s="32"/>
      <c r="F397" s="17">
        <v>73453.2</v>
      </c>
      <c r="G397" s="32">
        <v>1127653526.4000001</v>
      </c>
      <c r="H397" s="3">
        <f t="shared" si="54"/>
        <v>-1531413.5299999993</v>
      </c>
      <c r="I397" s="4">
        <f t="shared" si="55"/>
        <v>-23103352121.81601</v>
      </c>
    </row>
    <row r="398" spans="1:9" ht="15" customHeight="1" x14ac:dyDescent="0.2">
      <c r="A398" s="2">
        <v>45181</v>
      </c>
      <c r="C398" s="1" t="s">
        <v>17</v>
      </c>
      <c r="D398" s="17"/>
      <c r="E398" s="32"/>
      <c r="F398" s="17">
        <v>30</v>
      </c>
      <c r="G398" s="32">
        <v>460560</v>
      </c>
      <c r="H398" s="3">
        <f t="shared" si="54"/>
        <v>-1531443.5299999993</v>
      </c>
      <c r="I398" s="4">
        <f t="shared" si="55"/>
        <v>-23103812681.81601</v>
      </c>
    </row>
    <row r="399" spans="1:9" ht="15" customHeight="1" x14ac:dyDescent="0.2">
      <c r="A399" s="2">
        <v>45191</v>
      </c>
      <c r="B399" s="2"/>
      <c r="C399" s="1" t="s">
        <v>361</v>
      </c>
      <c r="D399" s="178">
        <v>12960</v>
      </c>
      <c r="E399" s="211">
        <v>195475680</v>
      </c>
      <c r="F399" s="156"/>
      <c r="G399" s="73"/>
      <c r="H399" s="3">
        <f t="shared" si="54"/>
        <v>-1518483.5299999993</v>
      </c>
      <c r="I399" s="4">
        <f t="shared" si="55"/>
        <v>-22908337001.81601</v>
      </c>
    </row>
    <row r="400" spans="1:9" ht="15" customHeight="1" x14ac:dyDescent="0.2">
      <c r="A400" s="2">
        <v>45196</v>
      </c>
      <c r="C400" s="1" t="s">
        <v>295</v>
      </c>
      <c r="D400" s="17"/>
      <c r="E400" s="32"/>
      <c r="F400" s="17">
        <v>17287</v>
      </c>
      <c r="G400" s="32">
        <v>267326168</v>
      </c>
      <c r="H400" s="3">
        <f t="shared" si="54"/>
        <v>-1535770.5299999993</v>
      </c>
      <c r="I400" s="4">
        <f t="shared" si="55"/>
        <v>-23175663169.81601</v>
      </c>
    </row>
    <row r="401" spans="1:12" ht="15" customHeight="1" x14ac:dyDescent="0.2">
      <c r="A401" s="2">
        <v>45196</v>
      </c>
      <c r="C401" s="1" t="s">
        <v>17</v>
      </c>
      <c r="D401" s="17"/>
      <c r="E401" s="32"/>
      <c r="F401" s="17">
        <v>17</v>
      </c>
      <c r="G401" s="32">
        <v>262888</v>
      </c>
      <c r="H401" s="3">
        <f t="shared" si="54"/>
        <v>-1535787.5299999993</v>
      </c>
      <c r="I401" s="4">
        <f t="shared" si="55"/>
        <v>-23175926057.81601</v>
      </c>
    </row>
    <row r="402" spans="1:12" ht="15" customHeight="1" x14ac:dyDescent="0.2">
      <c r="A402" s="2">
        <v>45198</v>
      </c>
      <c r="C402" s="1" t="s">
        <v>295</v>
      </c>
      <c r="D402" s="17"/>
      <c r="E402" s="32"/>
      <c r="F402" s="17">
        <v>18206.2</v>
      </c>
      <c r="G402" s="32">
        <v>282669461.19999999</v>
      </c>
      <c r="H402" s="3">
        <f t="shared" si="54"/>
        <v>-1553993.7299999993</v>
      </c>
      <c r="I402" s="4">
        <f t="shared" si="55"/>
        <v>-23458595519.01601</v>
      </c>
    </row>
    <row r="403" spans="1:12" ht="15" customHeight="1" x14ac:dyDescent="0.2">
      <c r="A403" s="2">
        <v>45198</v>
      </c>
      <c r="C403" s="1" t="s">
        <v>17</v>
      </c>
      <c r="D403" s="17"/>
      <c r="E403" s="32"/>
      <c r="F403" s="17">
        <v>17</v>
      </c>
      <c r="G403" s="32">
        <v>263942</v>
      </c>
      <c r="H403" s="6">
        <f t="shared" si="54"/>
        <v>-1554010.7299999993</v>
      </c>
      <c r="I403" s="7">
        <f t="shared" si="55"/>
        <v>-23458859461.01601</v>
      </c>
    </row>
    <row r="405" spans="1:12" ht="15" customHeight="1" x14ac:dyDescent="0.2">
      <c r="D405" s="17"/>
      <c r="E405" s="32"/>
      <c r="F405" s="17"/>
      <c r="G405" s="32"/>
    </row>
    <row r="406" spans="1:12" ht="15" customHeight="1" x14ac:dyDescent="0.2">
      <c r="D406" s="17"/>
      <c r="E406" s="32"/>
      <c r="F406" s="17"/>
      <c r="G406" s="32"/>
    </row>
    <row r="407" spans="1:12" ht="15" customHeight="1" x14ac:dyDescent="0.2">
      <c r="D407" s="17"/>
      <c r="E407" s="32"/>
      <c r="F407" s="17"/>
      <c r="G407" s="32"/>
    </row>
    <row r="408" spans="1:12" ht="15" customHeight="1" x14ac:dyDescent="0.2">
      <c r="A408" s="2">
        <v>45203</v>
      </c>
      <c r="C408" s="1" t="s">
        <v>191</v>
      </c>
      <c r="D408" s="17"/>
      <c r="E408" s="32"/>
      <c r="F408" s="17">
        <v>63927.6</v>
      </c>
      <c r="G408" s="32">
        <v>997270560</v>
      </c>
      <c r="H408" s="3">
        <f>+H403+D408-F408</f>
        <v>-1617938.3299999994</v>
      </c>
      <c r="I408" s="4">
        <f>+I403+E408-G408</f>
        <v>-24456130021.01601</v>
      </c>
    </row>
    <row r="409" spans="1:12" ht="15" customHeight="1" x14ac:dyDescent="0.2">
      <c r="A409" s="2">
        <v>45203</v>
      </c>
      <c r="C409" s="1" t="s">
        <v>17</v>
      </c>
      <c r="D409" s="17"/>
      <c r="E409" s="32"/>
      <c r="F409" s="17">
        <v>30</v>
      </c>
      <c r="G409" s="32">
        <v>468000</v>
      </c>
      <c r="H409" s="3">
        <f t="shared" ref="H409:I415" si="56">+H408+D409-F409</f>
        <v>-1617968.3299999994</v>
      </c>
      <c r="I409" s="4">
        <f t="shared" si="56"/>
        <v>-24456598021.01601</v>
      </c>
    </row>
    <row r="410" spans="1:12" ht="15" customHeight="1" x14ac:dyDescent="0.2">
      <c r="A410" s="217">
        <v>45206</v>
      </c>
      <c r="B410" s="217"/>
      <c r="C410" s="40" t="s">
        <v>413</v>
      </c>
      <c r="D410" s="156">
        <v>17832</v>
      </c>
      <c r="E410" s="25">
        <v>273239736</v>
      </c>
      <c r="F410" s="1"/>
      <c r="G410" s="1"/>
      <c r="H410" s="3">
        <f t="shared" si="56"/>
        <v>-1600136.3299999994</v>
      </c>
      <c r="I410" s="4">
        <f t="shared" si="56"/>
        <v>-24183358285.01601</v>
      </c>
      <c r="K410" s="1"/>
      <c r="L410" s="1"/>
    </row>
    <row r="411" spans="1:12" ht="15" customHeight="1" x14ac:dyDescent="0.2">
      <c r="A411" s="217">
        <v>45209</v>
      </c>
      <c r="B411" s="2"/>
      <c r="C411" s="1" t="s">
        <v>369</v>
      </c>
      <c r="D411" s="118">
        <v>13000</v>
      </c>
      <c r="E411" s="152">
        <v>199862000</v>
      </c>
      <c r="F411" s="1"/>
      <c r="G411" s="1"/>
      <c r="H411" s="3">
        <f t="shared" si="56"/>
        <v>-1587136.3299999994</v>
      </c>
      <c r="I411" s="4">
        <f t="shared" si="56"/>
        <v>-23983496285.01601</v>
      </c>
      <c r="K411" s="1"/>
      <c r="L411" s="1"/>
    </row>
    <row r="412" spans="1:12" ht="15" customHeight="1" x14ac:dyDescent="0.2">
      <c r="A412" s="217">
        <v>44854</v>
      </c>
      <c r="B412" s="40"/>
      <c r="C412" s="40" t="s">
        <v>412</v>
      </c>
      <c r="D412" s="172">
        <v>12530.7</v>
      </c>
      <c r="E412" s="173">
        <v>194113073.69999999</v>
      </c>
      <c r="H412" s="3">
        <f t="shared" si="56"/>
        <v>-1574605.6299999994</v>
      </c>
      <c r="I412" s="4">
        <f t="shared" si="56"/>
        <v>-23789383211.31601</v>
      </c>
      <c r="K412" s="1"/>
      <c r="L412" s="1"/>
    </row>
    <row r="413" spans="1:12" ht="15" customHeight="1" x14ac:dyDescent="0.2">
      <c r="A413" s="2">
        <v>45223</v>
      </c>
      <c r="C413" s="1" t="s">
        <v>191</v>
      </c>
      <c r="D413" s="17"/>
      <c r="E413" s="32"/>
      <c r="F413" s="17">
        <v>12310.8</v>
      </c>
      <c r="G413" s="32">
        <v>196271084.40000001</v>
      </c>
      <c r="H413" s="3">
        <f t="shared" si="56"/>
        <v>-1586916.4299999995</v>
      </c>
      <c r="I413" s="4">
        <f t="shared" si="56"/>
        <v>-23985654295.716011</v>
      </c>
    </row>
    <row r="414" spans="1:12" ht="15" customHeight="1" x14ac:dyDescent="0.2">
      <c r="A414" s="2">
        <v>45223</v>
      </c>
      <c r="B414" s="2"/>
      <c r="C414" s="1" t="s">
        <v>17</v>
      </c>
      <c r="E414" s="32"/>
      <c r="F414" s="3">
        <v>30</v>
      </c>
      <c r="G414" s="32">
        <v>478290</v>
      </c>
      <c r="H414" s="3">
        <f t="shared" si="56"/>
        <v>-1586946.4299999995</v>
      </c>
      <c r="I414" s="4">
        <f t="shared" si="56"/>
        <v>-23986132585.716011</v>
      </c>
      <c r="K414" s="1"/>
      <c r="L414" s="1"/>
    </row>
    <row r="415" spans="1:12" ht="15" customHeight="1" x14ac:dyDescent="0.2">
      <c r="A415" s="2">
        <v>45223</v>
      </c>
      <c r="C415" s="1" t="s">
        <v>394</v>
      </c>
      <c r="D415" s="17">
        <v>30000</v>
      </c>
      <c r="E415" s="32">
        <v>461490000</v>
      </c>
      <c r="H415" s="3">
        <f t="shared" si="56"/>
        <v>-1556946.4299999995</v>
      </c>
      <c r="I415" s="4">
        <f t="shared" si="56"/>
        <v>-23524642585.716011</v>
      </c>
    </row>
    <row r="416" spans="1:12" ht="15" customHeight="1" x14ac:dyDescent="0.2">
      <c r="A416" s="2">
        <v>45230</v>
      </c>
      <c r="C416" s="1" t="s">
        <v>417</v>
      </c>
      <c r="D416" s="17">
        <v>30000</v>
      </c>
      <c r="E416" s="32">
        <v>460560000</v>
      </c>
      <c r="H416" s="6">
        <f t="shared" ref="H416" si="57">+H415+D416-F416</f>
        <v>-1526946.4299999995</v>
      </c>
      <c r="I416" s="7">
        <f t="shared" ref="I416" si="58">+I415+E416-G416</f>
        <v>-23064082585.716011</v>
      </c>
    </row>
    <row r="420" spans="1:12" ht="15" customHeight="1" x14ac:dyDescent="0.2">
      <c r="A420" s="2">
        <v>45231</v>
      </c>
      <c r="B420" s="2"/>
      <c r="C420" s="1" t="s">
        <v>369</v>
      </c>
      <c r="D420" s="118">
        <v>24000</v>
      </c>
      <c r="E420" s="152">
        <v>368976000</v>
      </c>
      <c r="H420" s="3">
        <f>+H416+D420-F420</f>
        <v>-1502946.4299999995</v>
      </c>
      <c r="I420" s="4">
        <f>+I416+E420-G420</f>
        <v>-22695106585.716011</v>
      </c>
    </row>
    <row r="421" spans="1:12" ht="15" customHeight="1" x14ac:dyDescent="0.2">
      <c r="A421" s="2">
        <v>45231</v>
      </c>
      <c r="B421" s="2"/>
      <c r="C421" s="1" t="s">
        <v>369</v>
      </c>
      <c r="D421" s="118">
        <v>3000</v>
      </c>
      <c r="E421" s="152">
        <v>46122000</v>
      </c>
      <c r="H421" s="3">
        <f>+H420+D421-F421</f>
        <v>-1499946.4299999995</v>
      </c>
      <c r="I421" s="4">
        <f>+I420+E421-G421</f>
        <v>-22648984585.716011</v>
      </c>
    </row>
    <row r="422" spans="1:12" ht="15" customHeight="1" x14ac:dyDescent="0.2">
      <c r="A422" s="2">
        <v>45236</v>
      </c>
      <c r="C422" s="1" t="s">
        <v>417</v>
      </c>
      <c r="D422" s="17">
        <v>20000</v>
      </c>
      <c r="E422" s="32">
        <v>307040000</v>
      </c>
      <c r="H422" s="3">
        <f t="shared" ref="H422:H423" si="59">+H421+D422-F422</f>
        <v>-1479946.4299999995</v>
      </c>
      <c r="I422" s="4">
        <f t="shared" ref="I422:I423" si="60">+I421+E422-G422</f>
        <v>-22341944585.716011</v>
      </c>
    </row>
    <row r="423" spans="1:12" ht="15" customHeight="1" x14ac:dyDescent="0.2">
      <c r="A423" s="2">
        <v>45236</v>
      </c>
      <c r="C423" s="1" t="s">
        <v>438</v>
      </c>
      <c r="D423" s="17">
        <v>10000</v>
      </c>
      <c r="E423" s="32">
        <v>156000000</v>
      </c>
      <c r="H423" s="3">
        <f t="shared" si="59"/>
        <v>-1469946.4299999995</v>
      </c>
      <c r="I423" s="4">
        <f t="shared" si="60"/>
        <v>-22185944585.716011</v>
      </c>
    </row>
    <row r="424" spans="1:12" ht="15" customHeight="1" x14ac:dyDescent="0.2">
      <c r="A424" s="2">
        <v>45243</v>
      </c>
      <c r="C424" s="1" t="s">
        <v>442</v>
      </c>
      <c r="D424" s="3">
        <v>133788</v>
      </c>
      <c r="E424" s="32">
        <v>1997384560.4000001</v>
      </c>
      <c r="F424" s="103"/>
      <c r="G424" s="152"/>
      <c r="H424" s="3">
        <f t="shared" ref="H424:H426" si="61">+H423+D424-F424</f>
        <v>-1336158.4299999995</v>
      </c>
      <c r="I424" s="4">
        <f t="shared" ref="I424:I426" si="62">+I423+E424-G424</f>
        <v>-20188560025.31601</v>
      </c>
    </row>
    <row r="425" spans="1:12" ht="15" customHeight="1" x14ac:dyDescent="0.2">
      <c r="A425" s="2">
        <v>45243</v>
      </c>
      <c r="C425" s="1" t="s">
        <v>191</v>
      </c>
      <c r="E425" s="32"/>
      <c r="F425" s="3">
        <v>133788</v>
      </c>
      <c r="G425" s="32">
        <v>1997384560.4000001</v>
      </c>
      <c r="H425" s="3">
        <f t="shared" si="61"/>
        <v>-1469946.4299999995</v>
      </c>
      <c r="I425" s="4">
        <f t="shared" si="62"/>
        <v>-22185944585.716011</v>
      </c>
    </row>
    <row r="426" spans="1:12" ht="15" customHeight="1" x14ac:dyDescent="0.2">
      <c r="A426" s="2">
        <v>45245</v>
      </c>
      <c r="C426" s="1" t="s">
        <v>369</v>
      </c>
      <c r="D426" s="118">
        <v>12000</v>
      </c>
      <c r="E426" s="152">
        <v>184488000</v>
      </c>
      <c r="H426" s="3">
        <f t="shared" si="61"/>
        <v>-1457946.4299999995</v>
      </c>
      <c r="I426" s="4">
        <f t="shared" si="62"/>
        <v>-22001456585.716011</v>
      </c>
    </row>
    <row r="427" spans="1:12" ht="15" customHeight="1" x14ac:dyDescent="0.2">
      <c r="A427" s="2">
        <v>45245</v>
      </c>
      <c r="B427" s="2"/>
      <c r="C427" s="1" t="s">
        <v>369</v>
      </c>
      <c r="D427" s="118">
        <v>12000</v>
      </c>
      <c r="E427" s="152">
        <v>184488000</v>
      </c>
      <c r="F427" s="1"/>
      <c r="G427" s="1"/>
      <c r="H427" s="3">
        <f t="shared" ref="H427:H437" si="63">+H426+D427-F427</f>
        <v>-1445946.4299999995</v>
      </c>
      <c r="I427" s="4">
        <f t="shared" ref="I427:I437" si="64">+I426+E427-G427</f>
        <v>-21816968585.716011</v>
      </c>
      <c r="K427" s="1"/>
      <c r="L427" s="1"/>
    </row>
    <row r="428" spans="1:12" ht="15" customHeight="1" x14ac:dyDescent="0.2">
      <c r="A428" s="2">
        <v>45245</v>
      </c>
      <c r="B428" s="2"/>
      <c r="C428" s="1" t="s">
        <v>369</v>
      </c>
      <c r="D428" s="118">
        <v>13000</v>
      </c>
      <c r="E428" s="152">
        <v>199862000</v>
      </c>
      <c r="F428" s="1"/>
      <c r="G428" s="1"/>
      <c r="H428" s="3">
        <f t="shared" si="63"/>
        <v>-1432946.4299999995</v>
      </c>
      <c r="I428" s="4">
        <f t="shared" si="64"/>
        <v>-21617106585.716011</v>
      </c>
      <c r="K428" s="1"/>
      <c r="L428" s="1"/>
    </row>
    <row r="429" spans="1:12" ht="15" customHeight="1" x14ac:dyDescent="0.2">
      <c r="A429" s="2">
        <v>45252</v>
      </c>
      <c r="C429" s="1" t="s">
        <v>439</v>
      </c>
      <c r="D429" s="17">
        <v>17304</v>
      </c>
      <c r="E429" s="32">
        <v>267589056</v>
      </c>
      <c r="H429" s="3">
        <f t="shared" si="63"/>
        <v>-1415642.4299999995</v>
      </c>
      <c r="I429" s="4">
        <f t="shared" si="64"/>
        <v>-21349517529.716011</v>
      </c>
    </row>
    <row r="430" spans="1:12" ht="15" customHeight="1" x14ac:dyDescent="0.2">
      <c r="A430" s="2">
        <v>45252</v>
      </c>
      <c r="C430" s="1" t="s">
        <v>438</v>
      </c>
      <c r="D430" s="17">
        <v>20000</v>
      </c>
      <c r="E430" s="32">
        <v>312000000</v>
      </c>
      <c r="H430" s="3">
        <f t="shared" si="63"/>
        <v>-1395642.4299999995</v>
      </c>
      <c r="I430" s="4">
        <f t="shared" si="64"/>
        <v>-21037517529.716011</v>
      </c>
    </row>
    <row r="431" spans="1:12" ht="15" customHeight="1" x14ac:dyDescent="0.2">
      <c r="A431" s="2">
        <v>45252</v>
      </c>
      <c r="C431" s="1" t="s">
        <v>394</v>
      </c>
      <c r="D431" s="17">
        <v>10000</v>
      </c>
      <c r="E431" s="32">
        <v>153520000</v>
      </c>
      <c r="H431" s="3">
        <f t="shared" si="63"/>
        <v>-1385642.4299999995</v>
      </c>
      <c r="I431" s="4">
        <f t="shared" si="64"/>
        <v>-20883997529.716011</v>
      </c>
    </row>
    <row r="432" spans="1:12" ht="15" customHeight="1" x14ac:dyDescent="0.2">
      <c r="A432" s="2">
        <v>45252</v>
      </c>
      <c r="C432" s="1" t="s">
        <v>417</v>
      </c>
      <c r="D432" s="17">
        <v>10000</v>
      </c>
      <c r="E432" s="32">
        <v>153830000</v>
      </c>
      <c r="H432" s="3">
        <f t="shared" si="63"/>
        <v>-1375642.4299999995</v>
      </c>
      <c r="I432" s="4">
        <f t="shared" si="64"/>
        <v>-20730167529.716011</v>
      </c>
    </row>
    <row r="433" spans="1:12" ht="15" customHeight="1" x14ac:dyDescent="0.2">
      <c r="A433" s="2">
        <v>45254</v>
      </c>
      <c r="B433" s="2"/>
      <c r="C433" s="1" t="s">
        <v>369</v>
      </c>
      <c r="D433" s="118">
        <v>23669</v>
      </c>
      <c r="E433" s="152">
        <v>363887206</v>
      </c>
      <c r="F433" s="1"/>
      <c r="G433" s="1"/>
      <c r="H433" s="3">
        <f t="shared" si="63"/>
        <v>-1351973.4299999995</v>
      </c>
      <c r="I433" s="4">
        <f t="shared" si="64"/>
        <v>-20366280323.716011</v>
      </c>
      <c r="K433" s="1"/>
      <c r="L433" s="1"/>
    </row>
    <row r="434" spans="1:12" ht="15" customHeight="1" x14ac:dyDescent="0.2">
      <c r="A434" s="2">
        <v>45254</v>
      </c>
      <c r="B434" s="2"/>
      <c r="C434" s="1" t="s">
        <v>369</v>
      </c>
      <c r="D434" s="118">
        <v>45780</v>
      </c>
      <c r="E434" s="152">
        <v>703821720</v>
      </c>
      <c r="F434" s="1"/>
      <c r="G434" s="1"/>
      <c r="H434" s="3">
        <f t="shared" si="63"/>
        <v>-1306193.4299999995</v>
      </c>
      <c r="I434" s="4">
        <f t="shared" si="64"/>
        <v>-19662458603.716011</v>
      </c>
      <c r="K434" s="1"/>
      <c r="L434" s="1"/>
    </row>
    <row r="435" spans="1:12" ht="15" customHeight="1" x14ac:dyDescent="0.2">
      <c r="A435" s="2">
        <v>45257</v>
      </c>
      <c r="C435" s="1" t="s">
        <v>417</v>
      </c>
      <c r="D435" s="17">
        <v>13483.2</v>
      </c>
      <c r="E435" s="32">
        <v>206994086.40000001</v>
      </c>
      <c r="H435" s="3">
        <f t="shared" si="63"/>
        <v>-1292710.2299999995</v>
      </c>
      <c r="I435" s="4">
        <f t="shared" si="64"/>
        <v>-19455464517.31601</v>
      </c>
    </row>
    <row r="436" spans="1:12" ht="15" customHeight="1" x14ac:dyDescent="0.2">
      <c r="A436" s="2">
        <v>45257</v>
      </c>
      <c r="C436" s="1" t="s">
        <v>438</v>
      </c>
      <c r="D436" s="17">
        <v>10000</v>
      </c>
      <c r="E436" s="32">
        <v>156000000</v>
      </c>
      <c r="H436" s="3">
        <f t="shared" si="63"/>
        <v>-1282710.2299999995</v>
      </c>
      <c r="I436" s="4">
        <f t="shared" si="64"/>
        <v>-19299464517.31601</v>
      </c>
    </row>
    <row r="437" spans="1:12" ht="15" customHeight="1" x14ac:dyDescent="0.2">
      <c r="A437" s="2">
        <v>45257</v>
      </c>
      <c r="C437" s="1" t="s">
        <v>440</v>
      </c>
      <c r="D437" s="17">
        <v>12340.8</v>
      </c>
      <c r="E437" s="32">
        <v>196749374.40000001</v>
      </c>
      <c r="H437" s="3">
        <f t="shared" si="63"/>
        <v>-1270369.4299999995</v>
      </c>
      <c r="I437" s="4">
        <f t="shared" si="64"/>
        <v>-19102715142.916008</v>
      </c>
    </row>
    <row r="438" spans="1:12" ht="15" customHeight="1" x14ac:dyDescent="0.2">
      <c r="A438" s="2">
        <v>45259</v>
      </c>
      <c r="C438" s="1" t="s">
        <v>444</v>
      </c>
      <c r="D438" s="17">
        <v>20000</v>
      </c>
      <c r="E438" s="32">
        <v>298589493.884</v>
      </c>
      <c r="F438" s="1"/>
      <c r="G438" s="1"/>
      <c r="H438" s="3">
        <f t="shared" ref="H438:H439" si="65">+H437+D438-F438</f>
        <v>-1250369.4299999995</v>
      </c>
      <c r="I438" s="4">
        <f t="shared" ref="I438:I439" si="66">+I437+E438-G438</f>
        <v>-18804125649.032009</v>
      </c>
    </row>
    <row r="439" spans="1:12" ht="15" customHeight="1" x14ac:dyDescent="0.2">
      <c r="A439" s="2">
        <v>45259</v>
      </c>
      <c r="C439" s="1" t="s">
        <v>438</v>
      </c>
      <c r="D439" s="17">
        <v>10000</v>
      </c>
      <c r="E439" s="32">
        <v>156000000</v>
      </c>
      <c r="H439" s="6">
        <f t="shared" si="65"/>
        <v>-1240369.4299999995</v>
      </c>
      <c r="I439" s="7">
        <f t="shared" si="66"/>
        <v>-18648125649.032009</v>
      </c>
    </row>
    <row r="440" spans="1:12" ht="15" customHeight="1" x14ac:dyDescent="0.2">
      <c r="A440" s="1"/>
      <c r="D440" s="1"/>
      <c r="E440" s="1"/>
      <c r="F440" s="1"/>
      <c r="G440" s="1"/>
    </row>
    <row r="441" spans="1:12" ht="15" customHeight="1" x14ac:dyDescent="0.2">
      <c r="D441" s="17"/>
      <c r="E441" s="32"/>
      <c r="F441" s="17"/>
      <c r="G441" s="32"/>
    </row>
    <row r="442" spans="1:12" ht="15" customHeight="1" x14ac:dyDescent="0.2">
      <c r="A442" s="2">
        <v>45266</v>
      </c>
      <c r="C442" s="1" t="s">
        <v>453</v>
      </c>
      <c r="D442" s="115">
        <v>22530.7</v>
      </c>
      <c r="E442" s="140">
        <v>349023073.69999999</v>
      </c>
      <c r="H442" s="3">
        <f>+H439+D442-F442</f>
        <v>-1217838.7299999995</v>
      </c>
      <c r="I442" s="4">
        <f>+I439+E442-G442</f>
        <v>-18299102575.332008</v>
      </c>
    </row>
    <row r="443" spans="1:12" ht="15" customHeight="1" x14ac:dyDescent="0.2">
      <c r="A443" s="2">
        <v>45273</v>
      </c>
      <c r="B443" s="2"/>
      <c r="C443" s="1" t="s">
        <v>457</v>
      </c>
      <c r="D443" s="176">
        <v>68706</v>
      </c>
      <c r="E443" s="32">
        <v>1013138676</v>
      </c>
      <c r="F443" s="1"/>
      <c r="G443" s="1"/>
      <c r="H443" s="3">
        <f t="shared" ref="H443:I447" si="67">+H442+D443-F443</f>
        <v>-1149132.7299999995</v>
      </c>
      <c r="I443" s="4">
        <f t="shared" si="67"/>
        <v>-17285963899.332008</v>
      </c>
    </row>
    <row r="444" spans="1:12" ht="15" customHeight="1" x14ac:dyDescent="0.2">
      <c r="A444" s="2">
        <v>45278</v>
      </c>
      <c r="C444" s="1" t="s">
        <v>438</v>
      </c>
      <c r="D444" s="17">
        <v>13957.6</v>
      </c>
      <c r="E444" s="32">
        <v>217738560</v>
      </c>
      <c r="H444" s="3">
        <f t="shared" si="67"/>
        <v>-1135175.1299999994</v>
      </c>
      <c r="I444" s="4">
        <f t="shared" si="67"/>
        <v>-17068225339.332008</v>
      </c>
    </row>
    <row r="445" spans="1:12" ht="15" customHeight="1" x14ac:dyDescent="0.2">
      <c r="A445" s="2">
        <v>45278</v>
      </c>
      <c r="C445" s="1" t="s">
        <v>444</v>
      </c>
      <c r="D445" s="17">
        <v>10000</v>
      </c>
      <c r="E445" s="32">
        <v>149294746.94343901</v>
      </c>
      <c r="H445" s="3">
        <f t="shared" si="67"/>
        <v>-1125175.1299999994</v>
      </c>
      <c r="I445" s="4">
        <f t="shared" si="67"/>
        <v>-16918930592.388569</v>
      </c>
    </row>
    <row r="446" spans="1:12" ht="15" customHeight="1" x14ac:dyDescent="0.2">
      <c r="A446" s="2">
        <v>45280</v>
      </c>
      <c r="C446" s="1" t="s">
        <v>454</v>
      </c>
      <c r="D446" s="17">
        <v>18223.2</v>
      </c>
      <c r="E446" s="32">
        <v>282933403.19999999</v>
      </c>
      <c r="H446" s="3">
        <f t="shared" si="67"/>
        <v>-1106951.9299999995</v>
      </c>
      <c r="I446" s="4">
        <f t="shared" si="67"/>
        <v>-16635997189.188568</v>
      </c>
    </row>
    <row r="447" spans="1:12" ht="15" customHeight="1" x14ac:dyDescent="0.2">
      <c r="A447" s="2">
        <v>45281</v>
      </c>
      <c r="C447" s="1" t="s">
        <v>444</v>
      </c>
      <c r="D447" s="17">
        <v>30000</v>
      </c>
      <c r="E447" s="32">
        <v>447884240.82999998</v>
      </c>
      <c r="H447" s="6">
        <f t="shared" si="67"/>
        <v>-1076951.9299999995</v>
      </c>
      <c r="I447" s="7">
        <f t="shared" si="67"/>
        <v>-16188112948.358568</v>
      </c>
    </row>
    <row r="449" spans="4:7" ht="15" customHeight="1" x14ac:dyDescent="0.2">
      <c r="D449" s="17"/>
      <c r="E449" s="32"/>
      <c r="F449" s="17"/>
      <c r="G449" s="32"/>
    </row>
    <row r="450" spans="4:7" ht="15" customHeight="1" x14ac:dyDescent="0.2">
      <c r="D450" s="17"/>
      <c r="E450" s="32"/>
      <c r="F450" s="17"/>
      <c r="G450" s="32"/>
    </row>
    <row r="451" spans="4:7" ht="15" customHeight="1" x14ac:dyDescent="0.2">
      <c r="D451" s="17"/>
      <c r="E451" s="32"/>
      <c r="F451" s="17"/>
      <c r="G451" s="32"/>
    </row>
    <row r="452" spans="4:7" ht="15" customHeight="1" x14ac:dyDescent="0.2">
      <c r="D452" s="17"/>
      <c r="E452" s="32"/>
      <c r="F452" s="17"/>
      <c r="G452" s="32"/>
    </row>
    <row r="453" spans="4:7" ht="15" customHeight="1" x14ac:dyDescent="0.2">
      <c r="D453" s="17"/>
      <c r="E453" s="32"/>
      <c r="F453" s="17"/>
      <c r="G453" s="32"/>
    </row>
    <row r="454" spans="4:7" ht="15" customHeight="1" x14ac:dyDescent="0.2">
      <c r="D454" s="17"/>
      <c r="E454" s="32"/>
      <c r="F454" s="17"/>
      <c r="G454" s="32"/>
    </row>
    <row r="455" spans="4:7" ht="15" customHeight="1" x14ac:dyDescent="0.2">
      <c r="D455" s="17"/>
      <c r="E455" s="32"/>
      <c r="F455" s="17"/>
      <c r="G455" s="32"/>
    </row>
    <row r="456" spans="4:7" ht="15" customHeight="1" x14ac:dyDescent="0.2">
      <c r="D456" s="17"/>
      <c r="E456" s="32"/>
      <c r="F456" s="17"/>
      <c r="G456" s="32"/>
    </row>
    <row r="457" spans="4:7" ht="15" customHeight="1" x14ac:dyDescent="0.2">
      <c r="D457" s="17"/>
      <c r="E457" s="32"/>
      <c r="F457" s="17"/>
      <c r="G457" s="32"/>
    </row>
    <row r="458" spans="4:7" ht="15" customHeight="1" x14ac:dyDescent="0.2">
      <c r="D458" s="17"/>
      <c r="E458" s="32"/>
      <c r="F458" s="17"/>
      <c r="G458" s="32"/>
    </row>
    <row r="459" spans="4:7" ht="15" customHeight="1" x14ac:dyDescent="0.2">
      <c r="D459" s="17"/>
      <c r="E459" s="32"/>
      <c r="F459" s="17"/>
      <c r="G459" s="32"/>
    </row>
    <row r="460" spans="4:7" ht="15" customHeight="1" x14ac:dyDescent="0.2">
      <c r="D460" s="17"/>
      <c r="E460" s="32"/>
      <c r="F460" s="17"/>
      <c r="G460" s="32"/>
    </row>
    <row r="461" spans="4:7" ht="15" customHeight="1" x14ac:dyDescent="0.2">
      <c r="D461" s="17"/>
      <c r="E461" s="32"/>
      <c r="F461" s="17"/>
      <c r="G461" s="32"/>
    </row>
    <row r="462" spans="4:7" ht="15" customHeight="1" x14ac:dyDescent="0.2">
      <c r="D462" s="17"/>
      <c r="E462" s="32"/>
      <c r="F462" s="17"/>
      <c r="G462" s="32"/>
    </row>
    <row r="463" spans="4:7" ht="15" customHeight="1" x14ac:dyDescent="0.2">
      <c r="D463" s="17"/>
      <c r="E463" s="32"/>
      <c r="F463" s="17"/>
      <c r="G463" s="32"/>
    </row>
    <row r="464" spans="4:7" ht="15" customHeight="1" x14ac:dyDescent="0.2">
      <c r="D464" s="17"/>
      <c r="E464" s="32"/>
      <c r="F464" s="17"/>
      <c r="G464" s="32"/>
    </row>
    <row r="465" spans="4:7" ht="15" customHeight="1" x14ac:dyDescent="0.2">
      <c r="D465" s="17"/>
      <c r="E465" s="32"/>
      <c r="F465" s="17"/>
      <c r="G465" s="32"/>
    </row>
    <row r="466" spans="4:7" ht="15" customHeight="1" x14ac:dyDescent="0.2">
      <c r="D466" s="17"/>
      <c r="E466" s="32"/>
      <c r="F466" s="17"/>
      <c r="G466" s="32"/>
    </row>
    <row r="467" spans="4:7" ht="15" customHeight="1" x14ac:dyDescent="0.2">
      <c r="D467" s="17"/>
      <c r="E467" s="32"/>
      <c r="F467" s="17"/>
      <c r="G467" s="32"/>
    </row>
    <row r="468" spans="4:7" ht="15" customHeight="1" x14ac:dyDescent="0.2">
      <c r="D468" s="17"/>
      <c r="E468" s="32"/>
      <c r="F468" s="17"/>
      <c r="G468" s="32"/>
    </row>
    <row r="469" spans="4:7" ht="15" customHeight="1" x14ac:dyDescent="0.2">
      <c r="D469" s="17"/>
      <c r="E469" s="32"/>
      <c r="F469" s="17"/>
      <c r="G469" s="32"/>
    </row>
    <row r="470" spans="4:7" ht="15" customHeight="1" x14ac:dyDescent="0.2">
      <c r="D470" s="17"/>
      <c r="E470" s="32"/>
      <c r="F470" s="17"/>
      <c r="G470" s="32"/>
    </row>
    <row r="471" spans="4:7" ht="15" customHeight="1" x14ac:dyDescent="0.2">
      <c r="D471" s="17"/>
      <c r="E471" s="32"/>
      <c r="F471" s="17"/>
      <c r="G471" s="32"/>
    </row>
    <row r="472" spans="4:7" ht="15" customHeight="1" x14ac:dyDescent="0.2">
      <c r="D472" s="17"/>
      <c r="E472" s="32"/>
      <c r="F472" s="17"/>
      <c r="G472" s="32"/>
    </row>
    <row r="473" spans="4:7" ht="15" customHeight="1" x14ac:dyDescent="0.2">
      <c r="D473" s="17"/>
      <c r="E473" s="32"/>
      <c r="F473" s="17"/>
      <c r="G473" s="32"/>
    </row>
    <row r="474" spans="4:7" ht="15" customHeight="1" x14ac:dyDescent="0.2">
      <c r="D474" s="17"/>
      <c r="E474" s="32"/>
      <c r="F474" s="17"/>
      <c r="G474" s="32"/>
    </row>
    <row r="475" spans="4:7" ht="15" customHeight="1" x14ac:dyDescent="0.2">
      <c r="D475" s="17"/>
      <c r="E475" s="32"/>
      <c r="F475" s="17"/>
      <c r="G475" s="32"/>
    </row>
    <row r="476" spans="4:7" ht="15" customHeight="1" x14ac:dyDescent="0.2">
      <c r="D476" s="17"/>
      <c r="E476" s="32"/>
      <c r="F476" s="17"/>
      <c r="G476" s="32"/>
    </row>
    <row r="477" spans="4:7" ht="15" customHeight="1" x14ac:dyDescent="0.2">
      <c r="D477" s="17"/>
      <c r="E477" s="32"/>
      <c r="F477" s="17"/>
      <c r="G477" s="32"/>
    </row>
    <row r="478" spans="4:7" ht="15" customHeight="1" x14ac:dyDescent="0.2">
      <c r="D478" s="17"/>
      <c r="E478" s="32"/>
      <c r="F478" s="17"/>
      <c r="G478" s="32"/>
    </row>
    <row r="479" spans="4:7" ht="15" customHeight="1" x14ac:dyDescent="0.2">
      <c r="D479" s="17"/>
      <c r="E479" s="32"/>
      <c r="F479" s="17"/>
      <c r="G479" s="32"/>
    </row>
    <row r="480" spans="4:7" ht="15" customHeight="1" x14ac:dyDescent="0.2">
      <c r="D480" s="17"/>
      <c r="E480" s="32"/>
      <c r="F480" s="17"/>
      <c r="G480" s="32"/>
    </row>
    <row r="481" spans="4:7" ht="15" customHeight="1" x14ac:dyDescent="0.2">
      <c r="D481" s="17"/>
      <c r="E481" s="32"/>
      <c r="F481" s="17"/>
      <c r="G481" s="32"/>
    </row>
    <row r="482" spans="4:7" ht="15" customHeight="1" x14ac:dyDescent="0.2">
      <c r="D482" s="17"/>
      <c r="E482" s="32"/>
      <c r="F482" s="17"/>
      <c r="G482" s="32"/>
    </row>
    <row r="483" spans="4:7" ht="15" customHeight="1" x14ac:dyDescent="0.2">
      <c r="D483" s="17"/>
      <c r="E483" s="32"/>
      <c r="F483" s="17"/>
      <c r="G483" s="32"/>
    </row>
    <row r="484" spans="4:7" ht="15" customHeight="1" x14ac:dyDescent="0.2">
      <c r="D484" s="17"/>
      <c r="E484" s="32"/>
      <c r="F484" s="17"/>
      <c r="G484" s="32"/>
    </row>
    <row r="485" spans="4:7" ht="15" customHeight="1" x14ac:dyDescent="0.2">
      <c r="D485" s="17"/>
      <c r="E485" s="32"/>
      <c r="F485" s="17"/>
      <c r="G485" s="32"/>
    </row>
    <row r="486" spans="4:7" ht="15" customHeight="1" x14ac:dyDescent="0.2">
      <c r="D486" s="17"/>
      <c r="E486" s="32"/>
      <c r="F486" s="17"/>
      <c r="G486" s="32"/>
    </row>
    <row r="487" spans="4:7" ht="15" customHeight="1" x14ac:dyDescent="0.2">
      <c r="D487" s="17"/>
      <c r="E487" s="32"/>
      <c r="F487" s="17"/>
      <c r="G487" s="32"/>
    </row>
    <row r="488" spans="4:7" ht="15" customHeight="1" x14ac:dyDescent="0.2">
      <c r="D488" s="17"/>
      <c r="E488" s="32"/>
      <c r="F488" s="17"/>
      <c r="G488" s="32"/>
    </row>
    <row r="489" spans="4:7" ht="15" customHeight="1" x14ac:dyDescent="0.2">
      <c r="D489" s="17"/>
      <c r="E489" s="32"/>
      <c r="F489" s="17"/>
      <c r="G489" s="32"/>
    </row>
    <row r="490" spans="4:7" ht="15" customHeight="1" x14ac:dyDescent="0.2">
      <c r="D490" s="17"/>
      <c r="E490" s="32"/>
      <c r="F490" s="17"/>
      <c r="G490" s="32"/>
    </row>
    <row r="491" spans="4:7" ht="15" customHeight="1" x14ac:dyDescent="0.2">
      <c r="D491" s="17"/>
      <c r="E491" s="32"/>
      <c r="F491" s="17"/>
      <c r="G491" s="32"/>
    </row>
    <row r="492" spans="4:7" ht="15" customHeight="1" x14ac:dyDescent="0.2">
      <c r="D492" s="17"/>
      <c r="E492" s="32"/>
      <c r="F492" s="17"/>
      <c r="G492" s="32"/>
    </row>
    <row r="493" spans="4:7" ht="15" customHeight="1" x14ac:dyDescent="0.2">
      <c r="D493" s="17"/>
      <c r="E493" s="32"/>
      <c r="F493" s="17"/>
      <c r="G493" s="32"/>
    </row>
    <row r="494" spans="4:7" ht="15" customHeight="1" x14ac:dyDescent="0.2">
      <c r="D494" s="17"/>
      <c r="E494" s="32"/>
      <c r="F494" s="17"/>
      <c r="G494" s="32"/>
    </row>
    <row r="495" spans="4:7" ht="15" customHeight="1" x14ac:dyDescent="0.2">
      <c r="D495" s="17"/>
      <c r="E495" s="32"/>
      <c r="F495" s="17"/>
      <c r="G495" s="32"/>
    </row>
    <row r="496" spans="4:7" ht="15" customHeight="1" x14ac:dyDescent="0.2">
      <c r="D496" s="17"/>
      <c r="E496" s="32"/>
      <c r="F496" s="17"/>
      <c r="G496" s="32"/>
    </row>
    <row r="497" spans="4:10" ht="15" customHeight="1" x14ac:dyDescent="0.2">
      <c r="D497" s="17"/>
      <c r="E497" s="32"/>
      <c r="F497" s="17"/>
      <c r="G497" s="32"/>
    </row>
    <row r="498" spans="4:10" ht="15" customHeight="1" x14ac:dyDescent="0.2">
      <c r="D498" s="17"/>
      <c r="E498" s="32"/>
      <c r="F498" s="17"/>
      <c r="G498" s="32"/>
    </row>
    <row r="499" spans="4:10" ht="15" customHeight="1" x14ac:dyDescent="0.2">
      <c r="D499" s="17"/>
      <c r="E499" s="32"/>
      <c r="F499" s="17"/>
      <c r="G499" s="32"/>
    </row>
    <row r="500" spans="4:10" ht="15" customHeight="1" x14ac:dyDescent="0.2">
      <c r="D500" s="17"/>
      <c r="E500" s="32"/>
      <c r="F500" s="17"/>
      <c r="G500" s="32"/>
    </row>
    <row r="501" spans="4:10" ht="15" customHeight="1" x14ac:dyDescent="0.2">
      <c r="D501" s="17"/>
      <c r="E501" s="32"/>
      <c r="F501" s="17"/>
      <c r="G501" s="32"/>
    </row>
    <row r="502" spans="4:10" ht="15" customHeight="1" x14ac:dyDescent="0.2">
      <c r="D502" s="17"/>
      <c r="E502" s="32"/>
      <c r="F502" s="17"/>
      <c r="G502" s="32"/>
    </row>
    <row r="503" spans="4:10" ht="15" customHeight="1" x14ac:dyDescent="0.2">
      <c r="D503" s="17"/>
      <c r="E503" s="32"/>
      <c r="F503" s="17"/>
      <c r="G503" s="32"/>
    </row>
    <row r="504" spans="4:10" ht="15" customHeight="1" x14ac:dyDescent="0.2">
      <c r="D504" s="17"/>
      <c r="E504" s="32"/>
      <c r="F504" s="17"/>
      <c r="G504" s="32"/>
    </row>
    <row r="505" spans="4:10" ht="15" customHeight="1" x14ac:dyDescent="0.2">
      <c r="D505" s="17"/>
      <c r="E505" s="32"/>
      <c r="F505" s="17"/>
      <c r="G505" s="32"/>
    </row>
    <row r="506" spans="4:10" ht="15" customHeight="1" x14ac:dyDescent="0.2">
      <c r="D506" s="17"/>
      <c r="E506" s="32"/>
      <c r="F506" s="17"/>
      <c r="G506" s="32"/>
    </row>
    <row r="507" spans="4:10" ht="15" customHeight="1" x14ac:dyDescent="0.2">
      <c r="D507" s="17"/>
      <c r="E507" s="32"/>
      <c r="F507" s="17"/>
      <c r="G507" s="32"/>
    </row>
    <row r="508" spans="4:10" ht="15" customHeight="1" x14ac:dyDescent="0.2">
      <c r="D508" s="17"/>
      <c r="E508" s="32"/>
      <c r="F508" s="17"/>
      <c r="G508" s="32"/>
    </row>
    <row r="509" spans="4:10" ht="15" customHeight="1" x14ac:dyDescent="0.2">
      <c r="G509" s="4" t="s">
        <v>230</v>
      </c>
      <c r="H509" s="3">
        <v>11484.52</v>
      </c>
      <c r="I509" s="4">
        <v>166445263.21000001</v>
      </c>
      <c r="J509" s="1" t="s">
        <v>22</v>
      </c>
    </row>
    <row r="510" spans="4:10" ht="15" customHeight="1" x14ac:dyDescent="0.2">
      <c r="G510" s="4" t="s">
        <v>230</v>
      </c>
      <c r="H510" s="3">
        <v>21504.799999999999</v>
      </c>
      <c r="I510" s="4">
        <v>322808522.80000001</v>
      </c>
      <c r="J510" s="1" t="s">
        <v>23</v>
      </c>
    </row>
    <row r="511" spans="4:10" ht="15" customHeight="1" x14ac:dyDescent="0.2">
      <c r="H511" s="3">
        <v>21648.2</v>
      </c>
      <c r="I511" s="4">
        <v>338361366</v>
      </c>
      <c r="J511" s="1" t="s">
        <v>132</v>
      </c>
    </row>
    <row r="512" spans="4:10" ht="15" customHeight="1" x14ac:dyDescent="0.2">
      <c r="H512" s="3">
        <v>12930</v>
      </c>
      <c r="I512" s="4">
        <v>185843019.29999995</v>
      </c>
      <c r="J512" s="1" t="s">
        <v>133</v>
      </c>
    </row>
    <row r="513" spans="8:10" ht="15" customHeight="1" x14ac:dyDescent="0.2">
      <c r="H513" s="3">
        <v>30</v>
      </c>
      <c r="I513" s="4">
        <v>431190.3</v>
      </c>
      <c r="J513" s="1" t="s">
        <v>133</v>
      </c>
    </row>
    <row r="514" spans="8:10" ht="15" customHeight="1" x14ac:dyDescent="0.2">
      <c r="H514" s="3">
        <v>27434</v>
      </c>
      <c r="I514" s="4">
        <v>406078068</v>
      </c>
      <c r="J514" s="1" t="s">
        <v>133</v>
      </c>
    </row>
    <row r="515" spans="8:10" ht="15" customHeight="1" x14ac:dyDescent="0.2">
      <c r="H515" s="3">
        <v>30</v>
      </c>
      <c r="I515" s="4">
        <v>444060</v>
      </c>
      <c r="J515" s="1" t="s">
        <v>133</v>
      </c>
    </row>
    <row r="516" spans="8:10" ht="15" customHeight="1" x14ac:dyDescent="0.2">
      <c r="H516" s="3">
        <v>79610.399999999994</v>
      </c>
      <c r="I516" s="4">
        <v>1245265876.8</v>
      </c>
      <c r="J516" s="1" t="s">
        <v>134</v>
      </c>
    </row>
    <row r="517" spans="8:10" ht="15" customHeight="1" x14ac:dyDescent="0.2">
      <c r="H517" s="3">
        <v>30</v>
      </c>
      <c r="I517" s="4">
        <v>469260</v>
      </c>
      <c r="J517" s="1" t="s">
        <v>134</v>
      </c>
    </row>
    <row r="518" spans="8:10" ht="15" customHeight="1" x14ac:dyDescent="0.2">
      <c r="H518" s="3">
        <v>82489</v>
      </c>
      <c r="I518" s="4">
        <v>1227024699.8900001</v>
      </c>
      <c r="J518" s="1" t="s">
        <v>135</v>
      </c>
    </row>
    <row r="519" spans="8:10" ht="15" customHeight="1" x14ac:dyDescent="0.2">
      <c r="H519" s="3">
        <v>55</v>
      </c>
      <c r="I519" s="4">
        <v>818125.55</v>
      </c>
      <c r="J519" s="1" t="s">
        <v>135</v>
      </c>
    </row>
    <row r="520" spans="8:10" ht="15" customHeight="1" x14ac:dyDescent="0.2">
      <c r="H520" s="3">
        <v>10000</v>
      </c>
      <c r="I520" s="4">
        <v>143540000</v>
      </c>
      <c r="J520" s="1" t="s">
        <v>136</v>
      </c>
    </row>
    <row r="521" spans="8:10" ht="15" customHeight="1" x14ac:dyDescent="0.2">
      <c r="H521" s="3">
        <v>14678</v>
      </c>
      <c r="I521" s="4">
        <v>228918088</v>
      </c>
      <c r="J521" s="1" t="s">
        <v>24</v>
      </c>
    </row>
    <row r="522" spans="8:10" ht="15" customHeight="1" x14ac:dyDescent="0.2">
      <c r="H522" s="3">
        <v>42</v>
      </c>
      <c r="I522" s="4">
        <v>655032</v>
      </c>
      <c r="J522" s="1" t="s">
        <v>24</v>
      </c>
    </row>
    <row r="523" spans="8:10" ht="15" customHeight="1" x14ac:dyDescent="0.2">
      <c r="H523" s="3">
        <v>14678</v>
      </c>
      <c r="I523" s="4">
        <v>228918088</v>
      </c>
      <c r="J523" s="1" t="s">
        <v>24</v>
      </c>
    </row>
    <row r="524" spans="8:10" ht="15" customHeight="1" x14ac:dyDescent="0.2">
      <c r="H524" s="3">
        <v>42</v>
      </c>
      <c r="I524" s="4">
        <v>655032</v>
      </c>
      <c r="J524" s="1" t="s">
        <v>24</v>
      </c>
    </row>
    <row r="525" spans="8:10" ht="15" customHeight="1" x14ac:dyDescent="0.2">
      <c r="H525" s="3">
        <v>15078</v>
      </c>
      <c r="I525" s="4">
        <v>235156488</v>
      </c>
      <c r="J525" s="1" t="s">
        <v>24</v>
      </c>
    </row>
    <row r="526" spans="8:10" ht="15" customHeight="1" x14ac:dyDescent="0.2">
      <c r="H526" s="3">
        <v>42</v>
      </c>
      <c r="I526" s="4">
        <v>655032</v>
      </c>
      <c r="J526" s="1" t="s">
        <v>24</v>
      </c>
    </row>
    <row r="527" spans="8:10" ht="15" customHeight="1" x14ac:dyDescent="0.2">
      <c r="H527" s="3">
        <v>75018</v>
      </c>
      <c r="I527" s="4">
        <v>1162253874</v>
      </c>
      <c r="J527" s="1" t="s">
        <v>24</v>
      </c>
    </row>
    <row r="528" spans="8:10" ht="15" customHeight="1" x14ac:dyDescent="0.2">
      <c r="H528" s="3">
        <v>42</v>
      </c>
      <c r="I528" s="4">
        <v>650706</v>
      </c>
      <c r="J528" s="1" t="s">
        <v>24</v>
      </c>
    </row>
    <row r="529" spans="8:10" ht="15" customHeight="1" x14ac:dyDescent="0.2">
      <c r="H529" s="3">
        <v>14761.5</v>
      </c>
      <c r="I529" s="4">
        <v>227459953.5</v>
      </c>
      <c r="J529" s="1" t="s">
        <v>24</v>
      </c>
    </row>
    <row r="530" spans="8:10" ht="15" customHeight="1" x14ac:dyDescent="0.2">
      <c r="H530" s="3">
        <v>14761.5</v>
      </c>
      <c r="I530" s="4">
        <v>227459953.5</v>
      </c>
      <c r="J530" s="1" t="s">
        <v>24</v>
      </c>
    </row>
    <row r="531" spans="8:10" ht="15" customHeight="1" x14ac:dyDescent="0.2">
      <c r="H531" s="3">
        <v>42</v>
      </c>
      <c r="I531" s="4">
        <v>647178</v>
      </c>
      <c r="J531" s="1" t="s">
        <v>24</v>
      </c>
    </row>
  </sheetData>
  <sortState xmlns:xlrd2="http://schemas.microsoft.com/office/spreadsheetml/2017/richdata2" ref="A250:G262">
    <sortCondition ref="A250"/>
  </sortState>
  <mergeCells count="3">
    <mergeCell ref="D5:E5"/>
    <mergeCell ref="F5:G5"/>
    <mergeCell ref="H5:I5"/>
  </mergeCells>
  <printOptions horizontalCentered="1"/>
  <pageMargins left="0.5" right="0.5" top="0.5" bottom="0.5" header="0.5" footer="0.5"/>
  <pageSetup paperSize="9" scale="80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65"/>
  <sheetViews>
    <sheetView tabSelected="1" topLeftCell="A372" zoomScaleNormal="100" workbookViewId="0">
      <selection activeCell="A370" sqref="A370"/>
    </sheetView>
  </sheetViews>
  <sheetFormatPr defaultRowHeight="15" customHeight="1" x14ac:dyDescent="0.2"/>
  <cols>
    <col min="1" max="1" width="12.7109375" style="2" customWidth="1"/>
    <col min="2" max="2" width="12.7109375" style="1" customWidth="1"/>
    <col min="3" max="3" width="40.7109375" style="1" customWidth="1"/>
    <col min="4" max="4" width="15.7109375" style="3" customWidth="1"/>
    <col min="5" max="5" width="20.7109375" style="32" customWidth="1"/>
    <col min="6" max="6" width="15.7109375" style="103" customWidth="1"/>
    <col min="7" max="7" width="20.7109375" style="152" customWidth="1"/>
    <col min="8" max="8" width="15.140625" style="3" customWidth="1"/>
    <col min="9" max="9" width="20.7109375" style="4" customWidth="1"/>
    <col min="10" max="10" width="14.140625" style="4" bestFit="1" customWidth="1"/>
    <col min="11" max="11" width="17.7109375" style="4" bestFit="1" customWidth="1"/>
    <col min="12" max="12" width="17.7109375" style="1" bestFit="1" customWidth="1"/>
    <col min="13" max="16384" width="9.140625" style="1"/>
  </cols>
  <sheetData>
    <row r="1" spans="1:9" ht="15" customHeight="1" x14ac:dyDescent="0.2">
      <c r="A1" s="5" t="s">
        <v>0</v>
      </c>
    </row>
    <row r="2" spans="1:9" ht="15" customHeight="1" x14ac:dyDescent="0.2">
      <c r="A2" s="5" t="s">
        <v>11</v>
      </c>
    </row>
    <row r="3" spans="1:9" ht="15" customHeight="1" x14ac:dyDescent="0.2">
      <c r="A3" s="5" t="s">
        <v>12</v>
      </c>
    </row>
    <row r="4" spans="1:9" ht="15" customHeight="1" x14ac:dyDescent="0.2">
      <c r="A4" s="5" t="s">
        <v>160</v>
      </c>
    </row>
    <row r="5" spans="1:9" ht="15" customHeight="1" x14ac:dyDescent="0.2">
      <c r="H5" s="17"/>
      <c r="I5" s="32"/>
    </row>
    <row r="6" spans="1:9" ht="15" customHeight="1" x14ac:dyDescent="0.2">
      <c r="A6" s="9" t="s">
        <v>3</v>
      </c>
      <c r="B6" s="8" t="s">
        <v>4</v>
      </c>
      <c r="C6" s="8" t="s">
        <v>5</v>
      </c>
      <c r="D6" s="233" t="s">
        <v>6</v>
      </c>
      <c r="E6" s="233"/>
      <c r="F6" s="233" t="s">
        <v>7</v>
      </c>
      <c r="G6" s="233"/>
      <c r="H6" s="233" t="s">
        <v>8</v>
      </c>
      <c r="I6" s="233"/>
    </row>
    <row r="7" spans="1:9" ht="15" customHeight="1" x14ac:dyDescent="0.2">
      <c r="A7" s="10"/>
      <c r="B7" s="11"/>
      <c r="C7" s="11" t="s">
        <v>9</v>
      </c>
      <c r="D7" s="12"/>
      <c r="E7" s="184"/>
      <c r="F7" s="104"/>
      <c r="G7" s="180"/>
      <c r="H7" s="12">
        <v>-11484.519999999917</v>
      </c>
      <c r="I7" s="13">
        <v>-166445263.21000013</v>
      </c>
    </row>
    <row r="8" spans="1:9" ht="15" customHeight="1" x14ac:dyDescent="0.2">
      <c r="A8" s="2">
        <v>44928</v>
      </c>
      <c r="C8" s="1" t="s">
        <v>459</v>
      </c>
      <c r="D8" s="3">
        <v>11484.52</v>
      </c>
      <c r="E8" s="4">
        <v>166445263.21000001</v>
      </c>
      <c r="F8" s="102"/>
      <c r="H8" s="3">
        <f>+H7+D8-F8</f>
        <v>8.3673512563109398E-11</v>
      </c>
      <c r="I8" s="4">
        <f>+I7+E8-G8</f>
        <v>-1.1920928955078125E-7</v>
      </c>
    </row>
    <row r="9" spans="1:9" ht="15" customHeight="1" x14ac:dyDescent="0.2">
      <c r="E9" s="4"/>
      <c r="F9" s="102"/>
      <c r="H9" s="6"/>
      <c r="I9" s="7"/>
    </row>
    <row r="13" spans="1:9" ht="15" customHeight="1" x14ac:dyDescent="0.2">
      <c r="A13" s="5" t="s">
        <v>0</v>
      </c>
    </row>
    <row r="14" spans="1:9" ht="15" customHeight="1" x14ac:dyDescent="0.2">
      <c r="A14" s="5" t="s">
        <v>11</v>
      </c>
    </row>
    <row r="15" spans="1:9" ht="15" customHeight="1" x14ac:dyDescent="0.2">
      <c r="A15" s="5" t="s">
        <v>14</v>
      </c>
    </row>
    <row r="16" spans="1:9" ht="15" customHeight="1" x14ac:dyDescent="0.2">
      <c r="A16" s="5" t="s">
        <v>160</v>
      </c>
    </row>
    <row r="18" spans="1:9" ht="15" customHeight="1" x14ac:dyDescent="0.2">
      <c r="A18" s="9" t="s">
        <v>3</v>
      </c>
      <c r="B18" s="8" t="s">
        <v>4</v>
      </c>
      <c r="C18" s="8" t="s">
        <v>5</v>
      </c>
      <c r="D18" s="233" t="s">
        <v>6</v>
      </c>
      <c r="E18" s="233"/>
      <c r="F18" s="233" t="s">
        <v>7</v>
      </c>
      <c r="G18" s="233"/>
      <c r="H18" s="233" t="s">
        <v>8</v>
      </c>
      <c r="I18" s="233"/>
    </row>
    <row r="19" spans="1:9" ht="15" customHeight="1" x14ac:dyDescent="0.2">
      <c r="A19" s="10"/>
      <c r="B19" s="11"/>
      <c r="C19" s="11" t="s">
        <v>9</v>
      </c>
      <c r="D19" s="12"/>
      <c r="E19" s="184"/>
      <c r="F19" s="104"/>
      <c r="G19" s="180"/>
      <c r="H19" s="12"/>
      <c r="I19" s="13"/>
    </row>
    <row r="20" spans="1:9" ht="15" customHeight="1" x14ac:dyDescent="0.2">
      <c r="A20" s="62">
        <v>44826</v>
      </c>
      <c r="B20" s="63"/>
      <c r="C20" s="63" t="s">
        <v>118</v>
      </c>
      <c r="D20" s="64"/>
      <c r="E20" s="55"/>
      <c r="F20" s="105">
        <f>118489.8-10000-20000-47000-10000-10000</f>
        <v>21489.800000000003</v>
      </c>
      <c r="G20" s="138">
        <f>1778650387.8-150110000-300220000-705517000-150110000-150110000</f>
        <v>322583387.79999995</v>
      </c>
      <c r="H20" s="51"/>
      <c r="I20" s="50"/>
    </row>
    <row r="21" spans="1:9" ht="15" customHeight="1" x14ac:dyDescent="0.2">
      <c r="A21" s="48">
        <v>44826</v>
      </c>
      <c r="B21" s="49"/>
      <c r="C21" s="49" t="s">
        <v>139</v>
      </c>
      <c r="D21" s="54"/>
      <c r="E21" s="55"/>
      <c r="F21" s="106">
        <v>10000</v>
      </c>
      <c r="G21" s="138">
        <v>150110000</v>
      </c>
      <c r="H21" s="51"/>
      <c r="I21" s="50"/>
    </row>
    <row r="22" spans="1:9" ht="15" customHeight="1" x14ac:dyDescent="0.2">
      <c r="A22" s="48">
        <v>44826</v>
      </c>
      <c r="B22" s="49"/>
      <c r="C22" s="49" t="s">
        <v>17</v>
      </c>
      <c r="D22" s="54"/>
      <c r="E22" s="55"/>
      <c r="F22" s="107">
        <v>15</v>
      </c>
      <c r="G22" s="138">
        <v>225165</v>
      </c>
      <c r="H22" s="51"/>
      <c r="I22" s="50"/>
    </row>
    <row r="23" spans="1:9" ht="15" customHeight="1" x14ac:dyDescent="0.2">
      <c r="A23" s="48">
        <v>44876</v>
      </c>
      <c r="B23" s="49"/>
      <c r="C23" s="49" t="s">
        <v>145</v>
      </c>
      <c r="D23" s="51"/>
      <c r="E23" s="55"/>
      <c r="F23" s="106">
        <f>52558.8-13000-10000</f>
        <v>29558.800000000003</v>
      </c>
      <c r="G23" s="138">
        <f>825225718.8-204113000-157010000</f>
        <v>464102718.79999995</v>
      </c>
      <c r="H23" s="51"/>
      <c r="I23" s="50"/>
    </row>
    <row r="24" spans="1:9" ht="15" customHeight="1" x14ac:dyDescent="0.2">
      <c r="A24" s="48">
        <v>44876</v>
      </c>
      <c r="B24" s="49"/>
      <c r="C24" s="49" t="s">
        <v>139</v>
      </c>
      <c r="D24" s="51"/>
      <c r="E24" s="55"/>
      <c r="F24" s="106">
        <v>10000</v>
      </c>
      <c r="G24" s="138">
        <v>157010000</v>
      </c>
      <c r="H24" s="51"/>
      <c r="I24" s="50"/>
    </row>
    <row r="25" spans="1:9" ht="15" customHeight="1" x14ac:dyDescent="0.2">
      <c r="A25" s="48">
        <v>44876</v>
      </c>
      <c r="B25" s="49"/>
      <c r="C25" s="49" t="s">
        <v>17</v>
      </c>
      <c r="D25" s="51"/>
      <c r="E25" s="55"/>
      <c r="F25" s="106">
        <v>30</v>
      </c>
      <c r="G25" s="138">
        <v>471030</v>
      </c>
      <c r="H25" s="51"/>
      <c r="I25" s="50"/>
    </row>
    <row r="26" spans="1:9" ht="15" customHeight="1" x14ac:dyDescent="0.2">
      <c r="A26" s="48">
        <v>44908</v>
      </c>
      <c r="B26" s="49"/>
      <c r="C26" s="49" t="s">
        <v>186</v>
      </c>
      <c r="D26" s="51"/>
      <c r="E26" s="50"/>
      <c r="F26" s="108">
        <f>119970.6-30000-36000</f>
        <v>53970.600000000006</v>
      </c>
      <c r="G26" s="138">
        <f>1876580125.2-469260000-563112000</f>
        <v>844208125.20000005</v>
      </c>
      <c r="H26" s="51"/>
      <c r="I26" s="50"/>
    </row>
    <row r="27" spans="1:9" ht="15" customHeight="1" x14ac:dyDescent="0.2">
      <c r="A27" s="48">
        <v>44908</v>
      </c>
      <c r="B27" s="49"/>
      <c r="C27" s="49" t="s">
        <v>17</v>
      </c>
      <c r="D27" s="51"/>
      <c r="E27" s="55"/>
      <c r="F27" s="108">
        <v>30</v>
      </c>
      <c r="G27" s="138">
        <v>469260</v>
      </c>
      <c r="H27" s="51"/>
      <c r="I27" s="50"/>
    </row>
    <row r="28" spans="1:9" ht="15" customHeight="1" x14ac:dyDescent="0.2">
      <c r="C28" s="74" t="s">
        <v>175</v>
      </c>
      <c r="D28" s="75"/>
      <c r="E28" s="185"/>
      <c r="F28" s="109">
        <v>30000</v>
      </c>
      <c r="G28" s="139">
        <v>469260000</v>
      </c>
      <c r="H28" s="51"/>
      <c r="I28" s="50"/>
    </row>
    <row r="29" spans="1:9" ht="15" customHeight="1" x14ac:dyDescent="0.2">
      <c r="C29" s="74" t="s">
        <v>184</v>
      </c>
      <c r="D29" s="75"/>
      <c r="E29" s="185"/>
      <c r="F29" s="109">
        <v>36000</v>
      </c>
      <c r="G29" s="139">
        <v>563112000</v>
      </c>
      <c r="H29" s="51"/>
      <c r="I29" s="50"/>
    </row>
    <row r="30" spans="1:9" ht="15" customHeight="1" x14ac:dyDescent="0.2">
      <c r="C30" s="74"/>
      <c r="D30" s="75"/>
      <c r="E30" s="185"/>
      <c r="F30" s="110"/>
      <c r="G30" s="139"/>
      <c r="H30" s="51"/>
      <c r="I30" s="50"/>
    </row>
    <row r="31" spans="1:9" ht="15" customHeight="1" x14ac:dyDescent="0.2">
      <c r="C31" s="74"/>
      <c r="D31" s="75"/>
      <c r="E31" s="185"/>
      <c r="F31" s="110"/>
      <c r="G31" s="139"/>
      <c r="H31" s="51"/>
      <c r="I31" s="50"/>
    </row>
    <row r="32" spans="1:9" ht="15" customHeight="1" x14ac:dyDescent="0.2">
      <c r="C32" s="74"/>
      <c r="D32" s="75"/>
      <c r="E32" s="185"/>
      <c r="F32" s="110"/>
      <c r="G32" s="139"/>
      <c r="H32" s="51"/>
      <c r="I32" s="50"/>
    </row>
    <row r="33" spans="1:9" ht="15" customHeight="1" x14ac:dyDescent="0.2">
      <c r="C33" s="74" t="s">
        <v>9</v>
      </c>
      <c r="D33" s="75"/>
      <c r="E33" s="185"/>
      <c r="F33" s="110"/>
      <c r="G33" s="139"/>
      <c r="H33" s="51">
        <v>-191094.19999999972</v>
      </c>
      <c r="I33" s="50">
        <v>-2971551686.8022027</v>
      </c>
    </row>
    <row r="34" spans="1:9" ht="15" customHeight="1" x14ac:dyDescent="0.2">
      <c r="A34" s="2">
        <v>44936</v>
      </c>
      <c r="B34" s="2"/>
      <c r="C34" s="74" t="s">
        <v>139</v>
      </c>
      <c r="D34" s="75"/>
      <c r="E34" s="185"/>
      <c r="F34" s="111">
        <v>111279.3</v>
      </c>
      <c r="G34" s="139">
        <v>1733063818.2</v>
      </c>
      <c r="H34" s="51">
        <f t="shared" ref="H34:H65" si="0">+H33+D34-F34</f>
        <v>-302373.49999999971</v>
      </c>
      <c r="I34" s="50">
        <f t="shared" ref="I34:I65" si="1">+I33+E34-G34</f>
        <v>-4704615505.002203</v>
      </c>
    </row>
    <row r="35" spans="1:9" ht="15" customHeight="1" x14ac:dyDescent="0.2">
      <c r="A35" s="2">
        <v>44936</v>
      </c>
      <c r="B35" s="2"/>
      <c r="C35" s="74" t="s">
        <v>17</v>
      </c>
      <c r="D35" s="75"/>
      <c r="E35" s="185"/>
      <c r="F35" s="111">
        <v>30</v>
      </c>
      <c r="G35" s="139">
        <v>467220</v>
      </c>
      <c r="H35" s="51">
        <f t="shared" si="0"/>
        <v>-302403.49999999971</v>
      </c>
      <c r="I35" s="50">
        <f t="shared" si="1"/>
        <v>-4705082725.002203</v>
      </c>
    </row>
    <row r="36" spans="1:9" ht="15" customHeight="1" x14ac:dyDescent="0.2">
      <c r="A36" s="2">
        <v>44939</v>
      </c>
      <c r="B36" s="2"/>
      <c r="C36" s="74" t="s">
        <v>220</v>
      </c>
      <c r="D36" s="75"/>
      <c r="E36" s="185"/>
      <c r="F36" s="112">
        <f>75138-8000-22000-30000</f>
        <v>15138</v>
      </c>
      <c r="G36" s="139">
        <f>1154570508-122928000-338052000-460980000</f>
        <v>232610508</v>
      </c>
      <c r="H36" s="51">
        <f t="shared" si="0"/>
        <v>-317541.49999999971</v>
      </c>
      <c r="I36" s="50">
        <f t="shared" si="1"/>
        <v>-4937693233.002203</v>
      </c>
    </row>
    <row r="37" spans="1:9" ht="15" customHeight="1" x14ac:dyDescent="0.2">
      <c r="A37" s="2">
        <v>44939</v>
      </c>
      <c r="B37" s="2"/>
      <c r="C37" s="74" t="s">
        <v>17</v>
      </c>
      <c r="D37" s="75"/>
      <c r="E37" s="185"/>
      <c r="F37" s="112">
        <v>30</v>
      </c>
      <c r="G37" s="152">
        <v>460980</v>
      </c>
      <c r="H37" s="51">
        <f t="shared" si="0"/>
        <v>-317571.49999999971</v>
      </c>
      <c r="I37" s="50">
        <f t="shared" si="1"/>
        <v>-4938154213.002203</v>
      </c>
    </row>
    <row r="38" spans="1:9" ht="15" customHeight="1" x14ac:dyDescent="0.2">
      <c r="A38" s="2">
        <v>44939</v>
      </c>
      <c r="B38" s="2"/>
      <c r="C38" s="74" t="s">
        <v>184</v>
      </c>
      <c r="D38" s="75"/>
      <c r="E38" s="185"/>
      <c r="F38" s="113">
        <v>8000</v>
      </c>
      <c r="G38" s="152">
        <v>122928000</v>
      </c>
      <c r="H38" s="51">
        <f t="shared" si="0"/>
        <v>-325571.49999999971</v>
      </c>
      <c r="I38" s="50">
        <f t="shared" si="1"/>
        <v>-5061082213.002203</v>
      </c>
    </row>
    <row r="39" spans="1:9" ht="15" customHeight="1" x14ac:dyDescent="0.2">
      <c r="A39" s="2">
        <v>44939</v>
      </c>
      <c r="B39" s="2"/>
      <c r="C39" s="74" t="s">
        <v>186</v>
      </c>
      <c r="D39" s="75"/>
      <c r="E39" s="185"/>
      <c r="F39" s="113">
        <v>22000</v>
      </c>
      <c r="G39" s="152">
        <v>338052000</v>
      </c>
      <c r="H39" s="51">
        <f t="shared" si="0"/>
        <v>-347571.49999999971</v>
      </c>
      <c r="I39" s="50">
        <f t="shared" si="1"/>
        <v>-5399134213.002203</v>
      </c>
    </row>
    <row r="40" spans="1:9" ht="15" customHeight="1" x14ac:dyDescent="0.2">
      <c r="A40" s="2">
        <v>44939</v>
      </c>
      <c r="B40" s="2"/>
      <c r="C40" s="74" t="s">
        <v>217</v>
      </c>
      <c r="D40" s="75"/>
      <c r="E40" s="185"/>
      <c r="F40" s="144">
        <v>30000</v>
      </c>
      <c r="G40" s="152">
        <v>460980000</v>
      </c>
      <c r="H40" s="51">
        <f t="shared" si="0"/>
        <v>-377571.49999999971</v>
      </c>
      <c r="I40" s="50">
        <f t="shared" si="1"/>
        <v>-5860114213.002203</v>
      </c>
    </row>
    <row r="41" spans="1:9" ht="15" customHeight="1" x14ac:dyDescent="0.2">
      <c r="A41" s="2">
        <v>44939</v>
      </c>
      <c r="B41" s="2"/>
      <c r="C41" s="74" t="s">
        <v>163</v>
      </c>
      <c r="D41" s="91">
        <v>131309.29999999999</v>
      </c>
      <c r="E41" s="185">
        <v>2049081626.5</v>
      </c>
      <c r="F41" s="110"/>
      <c r="G41" s="139"/>
      <c r="H41" s="51">
        <f t="shared" si="0"/>
        <v>-246262.19999999972</v>
      </c>
      <c r="I41" s="50">
        <f t="shared" si="1"/>
        <v>-3811032586.502203</v>
      </c>
    </row>
    <row r="42" spans="1:9" ht="15" customHeight="1" x14ac:dyDescent="0.2">
      <c r="A42" s="2">
        <v>44944</v>
      </c>
      <c r="B42" s="2"/>
      <c r="C42" s="74" t="s">
        <v>164</v>
      </c>
      <c r="D42" s="91">
        <v>135295.10999999999</v>
      </c>
      <c r="E42" s="185">
        <v>2089903564.1700001</v>
      </c>
      <c r="F42" s="110"/>
      <c r="G42" s="139"/>
      <c r="H42" s="51">
        <f t="shared" si="0"/>
        <v>-110967.08999999973</v>
      </c>
      <c r="I42" s="50">
        <f t="shared" si="1"/>
        <v>-1721129022.3322029</v>
      </c>
    </row>
    <row r="43" spans="1:9" ht="15" customHeight="1" x14ac:dyDescent="0.2">
      <c r="A43" s="2">
        <v>44945</v>
      </c>
      <c r="B43" s="2"/>
      <c r="C43" s="74" t="s">
        <v>145</v>
      </c>
      <c r="D43" s="75"/>
      <c r="E43" s="185"/>
      <c r="F43" s="111">
        <v>105676.31</v>
      </c>
      <c r="G43" s="139">
        <v>1599622304.47</v>
      </c>
      <c r="H43" s="51">
        <f t="shared" si="0"/>
        <v>-216643.39999999973</v>
      </c>
      <c r="I43" s="50">
        <f t="shared" si="1"/>
        <v>-3320751326.8022032</v>
      </c>
    </row>
    <row r="44" spans="1:9" ht="15" customHeight="1" x14ac:dyDescent="0.2">
      <c r="A44" s="2">
        <v>44945</v>
      </c>
      <c r="B44" s="2"/>
      <c r="C44" s="74" t="s">
        <v>17</v>
      </c>
      <c r="D44" s="75"/>
      <c r="E44" s="185"/>
      <c r="F44" s="111">
        <v>30</v>
      </c>
      <c r="G44" s="139">
        <v>454110</v>
      </c>
      <c r="H44" s="51">
        <f t="shared" si="0"/>
        <v>-216673.39999999973</v>
      </c>
      <c r="I44" s="50">
        <f t="shared" si="1"/>
        <v>-3321205436.8022032</v>
      </c>
    </row>
    <row r="45" spans="1:9" ht="15" customHeight="1" x14ac:dyDescent="0.2">
      <c r="A45" s="2">
        <v>44957</v>
      </c>
      <c r="B45" s="2"/>
      <c r="C45" s="74" t="s">
        <v>18</v>
      </c>
      <c r="D45" s="75"/>
      <c r="E45" s="185"/>
      <c r="F45" s="114"/>
      <c r="G45" s="138">
        <v>33683989.200000003</v>
      </c>
      <c r="H45" s="52">
        <f t="shared" si="0"/>
        <v>-216673.39999999973</v>
      </c>
      <c r="I45" s="53">
        <f t="shared" si="1"/>
        <v>-3354889426.002203</v>
      </c>
    </row>
    <row r="46" spans="1:9" ht="15" customHeight="1" x14ac:dyDescent="0.2">
      <c r="A46" s="2">
        <v>44959</v>
      </c>
      <c r="B46" s="2"/>
      <c r="C46" s="1" t="s">
        <v>168</v>
      </c>
      <c r="D46" s="93">
        <v>197662.88</v>
      </c>
      <c r="E46" s="73">
        <v>2956641359.04</v>
      </c>
      <c r="F46" s="115"/>
      <c r="G46" s="140"/>
      <c r="H46" s="51">
        <f t="shared" si="0"/>
        <v>-19010.519999999728</v>
      </c>
      <c r="I46" s="50">
        <f t="shared" si="1"/>
        <v>-398248066.96220303</v>
      </c>
    </row>
    <row r="47" spans="1:9" ht="15" customHeight="1" x14ac:dyDescent="0.2">
      <c r="A47" s="2">
        <v>44974</v>
      </c>
      <c r="B47" s="2"/>
      <c r="C47" s="1" t="s">
        <v>169</v>
      </c>
      <c r="D47" s="93">
        <v>271073.77</v>
      </c>
      <c r="E47" s="73">
        <v>4097551107.3200002</v>
      </c>
      <c r="F47" s="115"/>
      <c r="G47" s="140"/>
      <c r="H47" s="51">
        <f t="shared" si="0"/>
        <v>252063.25000000029</v>
      </c>
      <c r="I47" s="50">
        <f t="shared" si="1"/>
        <v>3699303040.3577971</v>
      </c>
    </row>
    <row r="48" spans="1:9" ht="15" customHeight="1" x14ac:dyDescent="0.2">
      <c r="A48" s="2">
        <v>44980</v>
      </c>
      <c r="B48" s="2"/>
      <c r="C48" s="1" t="s">
        <v>170</v>
      </c>
      <c r="D48" s="93">
        <v>337788.75</v>
      </c>
      <c r="E48" s="73">
        <v>5131348901.25</v>
      </c>
      <c r="F48" s="115"/>
      <c r="G48" s="140"/>
      <c r="H48" s="51">
        <f t="shared" si="0"/>
        <v>589852.00000000023</v>
      </c>
      <c r="I48" s="50">
        <f t="shared" si="1"/>
        <v>8830651941.6077976</v>
      </c>
    </row>
    <row r="49" spans="1:9" ht="15" customHeight="1" x14ac:dyDescent="0.2">
      <c r="A49" s="2">
        <v>44958</v>
      </c>
      <c r="B49" s="2"/>
      <c r="C49" s="1" t="s">
        <v>175</v>
      </c>
      <c r="D49" s="24"/>
      <c r="E49" s="73"/>
      <c r="F49" s="116">
        <v>167632.88</v>
      </c>
      <c r="G49" s="140">
        <v>2513152136.96</v>
      </c>
      <c r="H49" s="51">
        <f t="shared" si="0"/>
        <v>422219.12000000023</v>
      </c>
      <c r="I49" s="50">
        <f t="shared" si="1"/>
        <v>6317499804.6477976</v>
      </c>
    </row>
    <row r="50" spans="1:9" ht="15" customHeight="1" x14ac:dyDescent="0.2">
      <c r="A50" s="2">
        <v>44958</v>
      </c>
      <c r="B50" s="2"/>
      <c r="C50" s="1" t="s">
        <v>17</v>
      </c>
      <c r="D50" s="24"/>
      <c r="E50" s="73"/>
      <c r="F50" s="116">
        <v>30</v>
      </c>
      <c r="G50" s="140">
        <v>449760</v>
      </c>
      <c r="H50" s="51">
        <f t="shared" si="0"/>
        <v>422189.12000000023</v>
      </c>
      <c r="I50" s="50">
        <f t="shared" si="1"/>
        <v>6317050044.6477976</v>
      </c>
    </row>
    <row r="51" spans="1:9" ht="15" customHeight="1" x14ac:dyDescent="0.2">
      <c r="A51" s="2">
        <v>44973</v>
      </c>
      <c r="B51" s="2"/>
      <c r="C51" s="74" t="s">
        <v>184</v>
      </c>
      <c r="D51" s="24"/>
      <c r="E51" s="73"/>
      <c r="F51" s="116">
        <v>227043.77</v>
      </c>
      <c r="G51" s="140">
        <v>3449703041.3800001</v>
      </c>
      <c r="H51" s="51">
        <f t="shared" si="0"/>
        <v>195145.35000000024</v>
      </c>
      <c r="I51" s="50">
        <f t="shared" si="1"/>
        <v>2867347003.2677975</v>
      </c>
    </row>
    <row r="52" spans="1:9" ht="15" customHeight="1" x14ac:dyDescent="0.2">
      <c r="A52" s="2">
        <v>44973</v>
      </c>
      <c r="B52" s="2"/>
      <c r="C52" s="1" t="s">
        <v>17</v>
      </c>
      <c r="D52" s="24"/>
      <c r="E52" s="73"/>
      <c r="F52" s="116">
        <v>30</v>
      </c>
      <c r="G52" s="140">
        <v>455820</v>
      </c>
      <c r="H52" s="51">
        <f t="shared" si="0"/>
        <v>195115.35000000024</v>
      </c>
      <c r="I52" s="50">
        <f t="shared" si="1"/>
        <v>2866891183.2677975</v>
      </c>
    </row>
    <row r="53" spans="1:9" ht="15" customHeight="1" x14ac:dyDescent="0.2">
      <c r="A53" s="2">
        <v>44980</v>
      </c>
      <c r="B53" s="2"/>
      <c r="C53" s="1" t="s">
        <v>186</v>
      </c>
      <c r="D53" s="24"/>
      <c r="E53" s="73"/>
      <c r="F53" s="116">
        <v>130864.07</v>
      </c>
      <c r="G53" s="140">
        <v>1991489417.26</v>
      </c>
      <c r="H53" s="51">
        <f t="shared" si="0"/>
        <v>64251.280000000232</v>
      </c>
      <c r="I53" s="50">
        <f t="shared" si="1"/>
        <v>875401766.00779748</v>
      </c>
    </row>
    <row r="54" spans="1:9" ht="15" customHeight="1" x14ac:dyDescent="0.2">
      <c r="A54" s="2">
        <v>44980</v>
      </c>
      <c r="B54" s="2"/>
      <c r="C54" s="1" t="s">
        <v>17</v>
      </c>
      <c r="D54" s="24"/>
      <c r="E54" s="73"/>
      <c r="F54" s="116">
        <v>30</v>
      </c>
      <c r="G54" s="140">
        <v>456540</v>
      </c>
      <c r="H54" s="51">
        <f t="shared" si="0"/>
        <v>64221.280000000232</v>
      </c>
      <c r="I54" s="50">
        <f t="shared" si="1"/>
        <v>874945226.00779748</v>
      </c>
    </row>
    <row r="55" spans="1:9" ht="15" customHeight="1" x14ac:dyDescent="0.2">
      <c r="A55" s="2">
        <v>44981</v>
      </c>
      <c r="B55" s="2"/>
      <c r="C55" s="1" t="s">
        <v>186</v>
      </c>
      <c r="D55" s="24"/>
      <c r="E55" s="73"/>
      <c r="F55" s="116">
        <v>130864.08</v>
      </c>
      <c r="G55" s="140">
        <v>1987432782.96</v>
      </c>
      <c r="H55" s="51">
        <f t="shared" si="0"/>
        <v>-66642.79999999977</v>
      </c>
      <c r="I55" s="50">
        <f t="shared" si="1"/>
        <v>-1112487556.9522026</v>
      </c>
    </row>
    <row r="56" spans="1:9" ht="15" customHeight="1" x14ac:dyDescent="0.2">
      <c r="A56" s="2">
        <v>44981</v>
      </c>
      <c r="B56" s="2"/>
      <c r="C56" s="1" t="s">
        <v>17</v>
      </c>
      <c r="D56" s="24"/>
      <c r="E56" s="73"/>
      <c r="F56" s="116">
        <v>30</v>
      </c>
      <c r="G56" s="140">
        <v>455610</v>
      </c>
      <c r="H56" s="51">
        <f t="shared" si="0"/>
        <v>-66672.79999999977</v>
      </c>
      <c r="I56" s="50">
        <f t="shared" si="1"/>
        <v>-1112943166.9522026</v>
      </c>
    </row>
    <row r="57" spans="1:9" ht="15" customHeight="1" x14ac:dyDescent="0.2">
      <c r="A57" s="2">
        <v>44984</v>
      </c>
      <c r="B57" s="2"/>
      <c r="C57" s="1" t="s">
        <v>262</v>
      </c>
      <c r="D57" s="24"/>
      <c r="E57" s="73"/>
      <c r="F57" s="155">
        <f>138472.8-27000-41000</f>
        <v>70472.799999999988</v>
      </c>
      <c r="G57" s="140">
        <f>2107002124.8-410832000-623856000</f>
        <v>1072314124.8</v>
      </c>
      <c r="H57" s="51">
        <f t="shared" si="0"/>
        <v>-137145.59999999974</v>
      </c>
      <c r="I57" s="50">
        <f t="shared" si="1"/>
        <v>-2185257291.7522025</v>
      </c>
    </row>
    <row r="58" spans="1:9" ht="15" customHeight="1" x14ac:dyDescent="0.2">
      <c r="A58" s="2">
        <v>44984</v>
      </c>
      <c r="B58" s="2"/>
      <c r="C58" s="1" t="s">
        <v>246</v>
      </c>
      <c r="D58" s="24"/>
      <c r="E58" s="73"/>
      <c r="F58" s="148">
        <v>41000</v>
      </c>
      <c r="G58" s="140">
        <v>623856000</v>
      </c>
      <c r="H58" s="51">
        <f t="shared" si="0"/>
        <v>-178145.59999999974</v>
      </c>
      <c r="I58" s="50">
        <f t="shared" si="1"/>
        <v>-2809113291.7522025</v>
      </c>
    </row>
    <row r="59" spans="1:9" ht="15" customHeight="1" x14ac:dyDescent="0.2">
      <c r="A59" s="2">
        <v>44984</v>
      </c>
      <c r="B59" s="2"/>
      <c r="C59" s="1" t="s">
        <v>17</v>
      </c>
      <c r="D59" s="24"/>
      <c r="E59" s="73"/>
      <c r="F59" s="155">
        <v>30</v>
      </c>
      <c r="G59" s="140">
        <v>456480</v>
      </c>
      <c r="H59" s="51">
        <f t="shared" si="0"/>
        <v>-178175.59999999974</v>
      </c>
      <c r="I59" s="50">
        <f t="shared" si="1"/>
        <v>-2809569771.7522025</v>
      </c>
    </row>
    <row r="60" spans="1:9" ht="15" customHeight="1" x14ac:dyDescent="0.2">
      <c r="A60" s="2">
        <v>44984</v>
      </c>
      <c r="B60" s="2"/>
      <c r="C60" s="1" t="s">
        <v>220</v>
      </c>
      <c r="D60" s="24"/>
      <c r="E60" s="73"/>
      <c r="F60" s="117">
        <v>27000</v>
      </c>
      <c r="G60" s="140">
        <v>410832000</v>
      </c>
      <c r="H60" s="51">
        <f t="shared" si="0"/>
        <v>-205175.59999999974</v>
      </c>
      <c r="I60" s="50">
        <f t="shared" si="1"/>
        <v>-3220401771.7522025</v>
      </c>
    </row>
    <row r="61" spans="1:9" ht="15" customHeight="1" x14ac:dyDescent="0.2">
      <c r="A61" s="2">
        <v>44985</v>
      </c>
      <c r="B61" s="2"/>
      <c r="C61" s="1" t="s">
        <v>18</v>
      </c>
      <c r="D61" s="24"/>
      <c r="E61" s="73">
        <v>96083126.150000006</v>
      </c>
      <c r="F61" s="115"/>
      <c r="G61" s="140"/>
      <c r="H61" s="52">
        <f t="shared" si="0"/>
        <v>-205175.59999999974</v>
      </c>
      <c r="I61" s="53">
        <f t="shared" si="1"/>
        <v>-3124318645.6022024</v>
      </c>
    </row>
    <row r="62" spans="1:9" ht="15" customHeight="1" x14ac:dyDescent="0.2">
      <c r="A62" s="2">
        <v>45009</v>
      </c>
      <c r="B62" s="2"/>
      <c r="C62" s="1" t="s">
        <v>219</v>
      </c>
      <c r="D62" s="100">
        <v>265052.59999999998</v>
      </c>
      <c r="E62" s="73">
        <v>4076774040.5999994</v>
      </c>
      <c r="F62" s="115"/>
      <c r="G62" s="140"/>
      <c r="H62" s="51">
        <f t="shared" si="0"/>
        <v>59877.000000000233</v>
      </c>
      <c r="I62" s="50">
        <f t="shared" si="1"/>
        <v>952455394.99779701</v>
      </c>
    </row>
    <row r="63" spans="1:9" ht="15" customHeight="1" x14ac:dyDescent="0.2">
      <c r="A63" s="2">
        <v>45015</v>
      </c>
      <c r="B63" s="2"/>
      <c r="C63" s="1" t="s">
        <v>218</v>
      </c>
      <c r="D63" s="145">
        <v>132166.01</v>
      </c>
      <c r="E63" s="73">
        <v>2022668617.0400002</v>
      </c>
      <c r="F63" s="115"/>
      <c r="G63" s="140"/>
      <c r="H63" s="51">
        <f t="shared" si="0"/>
        <v>192043.01000000024</v>
      </c>
      <c r="I63" s="50">
        <f t="shared" si="1"/>
        <v>2975124012.037797</v>
      </c>
    </row>
    <row r="64" spans="1:9" ht="15" customHeight="1" x14ac:dyDescent="0.2">
      <c r="A64" s="2">
        <v>45000</v>
      </c>
      <c r="B64" s="2"/>
      <c r="C64" s="1" t="s">
        <v>216</v>
      </c>
      <c r="D64" s="24"/>
      <c r="E64" s="73"/>
      <c r="F64" s="115">
        <f>104061.4-32000-42000-13000-10000</f>
        <v>7061.3999999999942</v>
      </c>
      <c r="G64" s="140">
        <f>1600464332-492160000-645960000-199940000-153800000</f>
        <v>108604332</v>
      </c>
      <c r="H64" s="51">
        <f t="shared" si="0"/>
        <v>184981.61000000025</v>
      </c>
      <c r="I64" s="50">
        <f t="shared" si="1"/>
        <v>2866519680.037797</v>
      </c>
    </row>
    <row r="65" spans="1:9" ht="15" customHeight="1" x14ac:dyDescent="0.2">
      <c r="A65" s="2">
        <v>45000</v>
      </c>
      <c r="B65" s="2"/>
      <c r="C65" s="1" t="s">
        <v>286</v>
      </c>
      <c r="D65" s="24"/>
      <c r="E65" s="73"/>
      <c r="F65" s="166">
        <v>10000</v>
      </c>
      <c r="G65" s="140">
        <v>153800000</v>
      </c>
      <c r="H65" s="51">
        <f t="shared" si="0"/>
        <v>174981.61000000025</v>
      </c>
      <c r="I65" s="50">
        <f t="shared" si="1"/>
        <v>2712719680.037797</v>
      </c>
    </row>
    <row r="66" spans="1:9" ht="15" customHeight="1" x14ac:dyDescent="0.2">
      <c r="A66" s="2">
        <v>45000</v>
      </c>
      <c r="B66" s="2"/>
      <c r="C66" s="1" t="s">
        <v>255</v>
      </c>
      <c r="D66" s="24"/>
      <c r="E66" s="73"/>
      <c r="F66" s="150">
        <v>32000</v>
      </c>
      <c r="G66" s="140">
        <v>492160000</v>
      </c>
      <c r="H66" s="51">
        <f t="shared" ref="H66:H97" si="2">+H65+D66-F66</f>
        <v>142981.61000000025</v>
      </c>
      <c r="I66" s="50">
        <f t="shared" ref="I66:I97" si="3">+I65+E66-G66</f>
        <v>2220559680.037797</v>
      </c>
    </row>
    <row r="67" spans="1:9" ht="15" customHeight="1" x14ac:dyDescent="0.2">
      <c r="A67" s="2">
        <v>45000</v>
      </c>
      <c r="B67" s="2"/>
      <c r="C67" s="1" t="s">
        <v>257</v>
      </c>
      <c r="D67" s="24"/>
      <c r="E67" s="73"/>
      <c r="F67" s="150">
        <v>42000</v>
      </c>
      <c r="G67" s="140">
        <v>645960000</v>
      </c>
      <c r="H67" s="51">
        <f t="shared" si="2"/>
        <v>100981.61000000025</v>
      </c>
      <c r="I67" s="50">
        <f t="shared" si="3"/>
        <v>1574599680.037797</v>
      </c>
    </row>
    <row r="68" spans="1:9" ht="15" customHeight="1" x14ac:dyDescent="0.2">
      <c r="A68" s="2">
        <v>45000</v>
      </c>
      <c r="B68" s="2"/>
      <c r="C68" s="1" t="s">
        <v>258</v>
      </c>
      <c r="D68" s="24"/>
      <c r="E68" s="73"/>
      <c r="F68" s="150">
        <v>13000</v>
      </c>
      <c r="G68" s="140">
        <v>199940000</v>
      </c>
      <c r="H68" s="51">
        <f t="shared" si="2"/>
        <v>87981.610000000248</v>
      </c>
      <c r="I68" s="50">
        <f t="shared" si="3"/>
        <v>1374659680.037797</v>
      </c>
    </row>
    <row r="69" spans="1:9" ht="15" customHeight="1" x14ac:dyDescent="0.2">
      <c r="A69" s="2">
        <v>45000</v>
      </c>
      <c r="B69" s="2"/>
      <c r="C69" s="1" t="s">
        <v>17</v>
      </c>
      <c r="D69" s="24"/>
      <c r="E69" s="73"/>
      <c r="F69" s="115">
        <v>30</v>
      </c>
      <c r="G69" s="140">
        <v>461400</v>
      </c>
      <c r="H69" s="51">
        <f t="shared" si="2"/>
        <v>87951.610000000248</v>
      </c>
      <c r="I69" s="50">
        <f t="shared" si="3"/>
        <v>1374198280.037797</v>
      </c>
    </row>
    <row r="70" spans="1:9" ht="15" customHeight="1" x14ac:dyDescent="0.2">
      <c r="A70" s="2">
        <v>45009</v>
      </c>
      <c r="B70" s="2"/>
      <c r="C70" s="1" t="s">
        <v>220</v>
      </c>
      <c r="D70" s="24"/>
      <c r="E70" s="73"/>
      <c r="F70" s="117">
        <v>222854.6</v>
      </c>
      <c r="G70" s="140">
        <v>3420595255.4000001</v>
      </c>
      <c r="H70" s="51">
        <f t="shared" si="2"/>
        <v>-134902.98999999976</v>
      </c>
      <c r="I70" s="50">
        <f t="shared" si="3"/>
        <v>-2046396975.3622031</v>
      </c>
    </row>
    <row r="71" spans="1:9" ht="15" customHeight="1" x14ac:dyDescent="0.2">
      <c r="A71" s="2">
        <v>45009</v>
      </c>
      <c r="B71" s="2"/>
      <c r="C71" s="1" t="s">
        <v>17</v>
      </c>
      <c r="D71" s="24"/>
      <c r="E71" s="73"/>
      <c r="F71" s="117">
        <v>30</v>
      </c>
      <c r="G71" s="140">
        <v>460470</v>
      </c>
      <c r="H71" s="51">
        <f t="shared" si="2"/>
        <v>-134932.98999999976</v>
      </c>
      <c r="I71" s="50">
        <f t="shared" si="3"/>
        <v>-2046857445.3622031</v>
      </c>
    </row>
    <row r="72" spans="1:9" ht="15" customHeight="1" x14ac:dyDescent="0.2">
      <c r="A72" s="2">
        <v>45016</v>
      </c>
      <c r="C72" s="1" t="s">
        <v>18</v>
      </c>
      <c r="E72" s="4"/>
      <c r="F72" s="102"/>
      <c r="G72" s="152">
        <v>11814827.199999999</v>
      </c>
      <c r="H72" s="52">
        <f t="shared" si="2"/>
        <v>-134932.98999999976</v>
      </c>
      <c r="I72" s="53">
        <f t="shared" si="3"/>
        <v>-2058672272.5622032</v>
      </c>
    </row>
    <row r="73" spans="1:9" ht="15" customHeight="1" x14ac:dyDescent="0.2">
      <c r="A73" s="2">
        <v>45021</v>
      </c>
      <c r="C73" s="1" t="s">
        <v>234</v>
      </c>
      <c r="D73" s="147">
        <v>267161.14</v>
      </c>
      <c r="E73" s="4">
        <v>4028522830.0600004</v>
      </c>
      <c r="F73" s="102"/>
      <c r="H73" s="51">
        <f t="shared" si="2"/>
        <v>132228.15000000026</v>
      </c>
      <c r="I73" s="50">
        <f t="shared" si="3"/>
        <v>1969850557.4977973</v>
      </c>
    </row>
    <row r="74" spans="1:9" ht="15" customHeight="1" x14ac:dyDescent="0.2">
      <c r="A74" s="2">
        <v>45022</v>
      </c>
      <c r="C74" s="1" t="s">
        <v>237</v>
      </c>
      <c r="E74" s="4"/>
      <c r="F74" s="102">
        <f>145879.6-10000-23000-23000-23000-20909.6-20000-23000</f>
        <v>2970.0000000000073</v>
      </c>
      <c r="G74" s="152">
        <f>2178420066.8-149330000-343459000-343459000-343459000-312243056.8-298660000-343459000</f>
        <v>44351010.000000238</v>
      </c>
      <c r="H74" s="51">
        <f t="shared" si="2"/>
        <v>129258.15000000026</v>
      </c>
      <c r="I74" s="50">
        <f t="shared" si="3"/>
        <v>1925499547.497797</v>
      </c>
    </row>
    <row r="75" spans="1:9" ht="15" customHeight="1" x14ac:dyDescent="0.2">
      <c r="A75" s="2">
        <v>45022</v>
      </c>
      <c r="C75" s="1" t="s">
        <v>291</v>
      </c>
      <c r="E75" s="4"/>
      <c r="F75" s="167">
        <v>23000</v>
      </c>
      <c r="G75" s="152">
        <v>343459000</v>
      </c>
      <c r="H75" s="51">
        <f t="shared" si="2"/>
        <v>106258.15000000026</v>
      </c>
      <c r="I75" s="50">
        <f t="shared" si="3"/>
        <v>1582040547.497797</v>
      </c>
    </row>
    <row r="76" spans="1:9" ht="15" customHeight="1" x14ac:dyDescent="0.2">
      <c r="A76" s="2">
        <v>45022</v>
      </c>
      <c r="C76" s="1" t="s">
        <v>286</v>
      </c>
      <c r="E76" s="4"/>
      <c r="F76" s="167">
        <v>20000</v>
      </c>
      <c r="G76" s="152">
        <v>298660000</v>
      </c>
      <c r="H76" s="51">
        <f t="shared" si="2"/>
        <v>86258.150000000256</v>
      </c>
      <c r="I76" s="50">
        <f t="shared" si="3"/>
        <v>1283380547.497797</v>
      </c>
    </row>
    <row r="77" spans="1:9" ht="15" customHeight="1" x14ac:dyDescent="0.2">
      <c r="A77" s="2">
        <v>45022</v>
      </c>
      <c r="C77" s="1" t="s">
        <v>284</v>
      </c>
      <c r="E77" s="4"/>
      <c r="F77" s="168">
        <v>20909.599999999999</v>
      </c>
      <c r="G77" s="152">
        <v>312243056.80000001</v>
      </c>
      <c r="H77" s="51">
        <f t="shared" si="2"/>
        <v>65348.550000000258</v>
      </c>
      <c r="I77" s="50">
        <f t="shared" si="3"/>
        <v>971137490.69779706</v>
      </c>
    </row>
    <row r="78" spans="1:9" ht="15" customHeight="1" x14ac:dyDescent="0.2">
      <c r="A78" s="2">
        <v>45022</v>
      </c>
      <c r="C78" s="1" t="s">
        <v>281</v>
      </c>
      <c r="E78" s="4"/>
      <c r="F78" s="167">
        <v>23000</v>
      </c>
      <c r="G78" s="152">
        <v>343459000</v>
      </c>
      <c r="H78" s="51">
        <f t="shared" si="2"/>
        <v>42348.550000000258</v>
      </c>
      <c r="I78" s="50">
        <f t="shared" si="3"/>
        <v>627678490.69779706</v>
      </c>
    </row>
    <row r="79" spans="1:9" ht="15" customHeight="1" x14ac:dyDescent="0.2">
      <c r="A79" s="2">
        <v>45022</v>
      </c>
      <c r="C79" s="1" t="s">
        <v>280</v>
      </c>
      <c r="E79" s="4"/>
      <c r="F79" s="167">
        <v>23000</v>
      </c>
      <c r="G79" s="152">
        <v>343459000</v>
      </c>
      <c r="H79" s="51">
        <f t="shared" si="2"/>
        <v>19348.550000000258</v>
      </c>
      <c r="I79" s="50">
        <f t="shared" si="3"/>
        <v>284219490.69779706</v>
      </c>
    </row>
    <row r="80" spans="1:9" ht="15" customHeight="1" x14ac:dyDescent="0.2">
      <c r="A80" s="2">
        <v>45022</v>
      </c>
      <c r="C80" s="1" t="s">
        <v>258</v>
      </c>
      <c r="E80" s="4"/>
      <c r="F80" s="151">
        <v>10000</v>
      </c>
      <c r="G80" s="152">
        <v>149330000</v>
      </c>
      <c r="H80" s="51">
        <f t="shared" si="2"/>
        <v>9348.5500000002576</v>
      </c>
      <c r="I80" s="50">
        <f t="shared" si="3"/>
        <v>134889490.69779706</v>
      </c>
    </row>
    <row r="81" spans="1:9" ht="15" customHeight="1" x14ac:dyDescent="0.2">
      <c r="A81" s="2">
        <v>45022</v>
      </c>
      <c r="C81" s="1" t="s">
        <v>259</v>
      </c>
      <c r="E81" s="4"/>
      <c r="F81" s="151">
        <v>23000</v>
      </c>
      <c r="G81" s="152">
        <v>343459000</v>
      </c>
      <c r="H81" s="51">
        <f t="shared" si="2"/>
        <v>-13651.449999999742</v>
      </c>
      <c r="I81" s="50">
        <f t="shared" si="3"/>
        <v>-208569509.30220294</v>
      </c>
    </row>
    <row r="82" spans="1:9" ht="15" customHeight="1" x14ac:dyDescent="0.2">
      <c r="A82" s="2">
        <v>45022</v>
      </c>
      <c r="C82" s="1" t="s">
        <v>17</v>
      </c>
      <c r="E82" s="4"/>
      <c r="F82" s="102">
        <v>30</v>
      </c>
      <c r="G82" s="152">
        <v>447990</v>
      </c>
      <c r="H82" s="51">
        <f t="shared" si="2"/>
        <v>-13681.449999999742</v>
      </c>
      <c r="I82" s="50">
        <f t="shared" si="3"/>
        <v>-209017499.30220294</v>
      </c>
    </row>
    <row r="83" spans="1:9" ht="15" customHeight="1" x14ac:dyDescent="0.2">
      <c r="A83" s="2">
        <v>45022</v>
      </c>
      <c r="C83" s="1" t="s">
        <v>217</v>
      </c>
      <c r="E83" s="4"/>
      <c r="F83" s="143">
        <v>102136.01</v>
      </c>
      <c r="G83" s="152">
        <v>1525197037.3299999</v>
      </c>
      <c r="H83" s="51">
        <f t="shared" si="2"/>
        <v>-115817.45999999973</v>
      </c>
      <c r="I83" s="50">
        <f t="shared" si="3"/>
        <v>-1734214536.6322029</v>
      </c>
    </row>
    <row r="84" spans="1:9" ht="15" customHeight="1" x14ac:dyDescent="0.2">
      <c r="A84" s="2">
        <v>45022</v>
      </c>
      <c r="C84" s="1" t="s">
        <v>17</v>
      </c>
      <c r="E84" s="4"/>
      <c r="F84" s="143">
        <v>30</v>
      </c>
      <c r="G84" s="152">
        <v>447990</v>
      </c>
      <c r="H84" s="51">
        <f t="shared" si="2"/>
        <v>-115847.45999999973</v>
      </c>
      <c r="I84" s="50">
        <f t="shared" si="3"/>
        <v>-1734662526.6322029</v>
      </c>
    </row>
    <row r="85" spans="1:9" ht="15" customHeight="1" x14ac:dyDescent="0.2">
      <c r="A85" s="2">
        <v>45027</v>
      </c>
      <c r="C85" s="1" t="s">
        <v>240</v>
      </c>
      <c r="E85" s="4"/>
      <c r="F85" s="143">
        <v>226131.14</v>
      </c>
      <c r="G85" s="152">
        <v>3370484641.6999998</v>
      </c>
      <c r="H85" s="51">
        <f t="shared" si="2"/>
        <v>-341978.59999999974</v>
      </c>
      <c r="I85" s="50">
        <f t="shared" si="3"/>
        <v>-5105147168.3322029</v>
      </c>
    </row>
    <row r="86" spans="1:9" ht="15" customHeight="1" x14ac:dyDescent="0.2">
      <c r="A86" s="2">
        <v>45027</v>
      </c>
      <c r="C86" s="1" t="s">
        <v>17</v>
      </c>
      <c r="E86" s="4"/>
      <c r="F86" s="143">
        <v>30</v>
      </c>
      <c r="G86" s="152">
        <v>447150</v>
      </c>
      <c r="H86" s="51">
        <f t="shared" si="2"/>
        <v>-342008.59999999974</v>
      </c>
      <c r="I86" s="50">
        <f t="shared" si="3"/>
        <v>-5105594318.3322029</v>
      </c>
    </row>
    <row r="87" spans="1:9" ht="15" customHeight="1" x14ac:dyDescent="0.2">
      <c r="A87" s="2">
        <v>45044</v>
      </c>
      <c r="C87" s="1" t="s">
        <v>245</v>
      </c>
      <c r="E87" s="4"/>
      <c r="F87" s="142">
        <v>251214.26</v>
      </c>
      <c r="G87" s="152">
        <v>3705661549.2600002</v>
      </c>
      <c r="H87" s="51">
        <f t="shared" si="2"/>
        <v>-593222.85999999975</v>
      </c>
      <c r="I87" s="50">
        <f t="shared" si="3"/>
        <v>-8811255867.5922031</v>
      </c>
    </row>
    <row r="88" spans="1:9" ht="15" customHeight="1" x14ac:dyDescent="0.2">
      <c r="A88" s="2">
        <v>45044</v>
      </c>
      <c r="C88" s="1" t="s">
        <v>17</v>
      </c>
      <c r="E88" s="4"/>
      <c r="F88" s="142">
        <v>30</v>
      </c>
      <c r="G88" s="152">
        <v>442530</v>
      </c>
      <c r="H88" s="51">
        <f t="shared" si="2"/>
        <v>-593252.85999999975</v>
      </c>
      <c r="I88" s="50">
        <f t="shared" si="3"/>
        <v>-8811698397.5922031</v>
      </c>
    </row>
    <row r="89" spans="1:9" ht="15" customHeight="1" x14ac:dyDescent="0.2">
      <c r="A89" s="2">
        <v>45046</v>
      </c>
      <c r="C89" s="1" t="s">
        <v>18</v>
      </c>
      <c r="E89" s="4"/>
      <c r="F89" s="102"/>
      <c r="G89" s="152">
        <f>36043589.71+33735038.36</f>
        <v>69778628.069999993</v>
      </c>
      <c r="H89" s="52">
        <f t="shared" si="2"/>
        <v>-593252.85999999975</v>
      </c>
      <c r="I89" s="53">
        <f t="shared" si="3"/>
        <v>-8881477025.6622028</v>
      </c>
    </row>
    <row r="90" spans="1:9" ht="15" customHeight="1" x14ac:dyDescent="0.2">
      <c r="A90" s="2">
        <v>45051</v>
      </c>
      <c r="C90" s="1" t="s">
        <v>247</v>
      </c>
      <c r="D90" s="16">
        <v>195425.82</v>
      </c>
      <c r="E90" s="4">
        <v>2885462232.3000002</v>
      </c>
      <c r="F90" s="102"/>
      <c r="H90" s="24">
        <f t="shared" si="2"/>
        <v>-397827.03999999975</v>
      </c>
      <c r="I90" s="25">
        <f t="shared" si="3"/>
        <v>-5996014793.3622026</v>
      </c>
    </row>
    <row r="91" spans="1:9" ht="15" customHeight="1" x14ac:dyDescent="0.2">
      <c r="A91" s="2">
        <v>45051</v>
      </c>
      <c r="C91" s="1" t="s">
        <v>248</v>
      </c>
      <c r="D91" s="71">
        <v>321747.06</v>
      </c>
      <c r="E91" s="4">
        <v>4750595340.8999996</v>
      </c>
      <c r="F91" s="102"/>
      <c r="H91" s="24">
        <f t="shared" si="2"/>
        <v>-76079.979999999749</v>
      </c>
      <c r="I91" s="25">
        <f t="shared" si="3"/>
        <v>-1245419452.462203</v>
      </c>
    </row>
    <row r="92" spans="1:9" ht="15" customHeight="1" x14ac:dyDescent="0.2">
      <c r="A92" s="2">
        <v>45051</v>
      </c>
      <c r="C92" s="1" t="s">
        <v>249</v>
      </c>
      <c r="D92" s="16">
        <v>261265.01</v>
      </c>
      <c r="E92" s="4">
        <v>3857577872.6500001</v>
      </c>
      <c r="F92" s="102"/>
      <c r="H92" s="24">
        <f t="shared" si="2"/>
        <v>185185.03000000026</v>
      </c>
      <c r="I92" s="25">
        <f t="shared" si="3"/>
        <v>2612158420.1877971</v>
      </c>
    </row>
    <row r="93" spans="1:9" ht="15" customHeight="1" x14ac:dyDescent="0.2">
      <c r="A93" s="2">
        <v>45051</v>
      </c>
      <c r="B93" s="2"/>
      <c r="C93" s="1" t="s">
        <v>255</v>
      </c>
      <c r="D93" s="17"/>
      <c r="F93" s="16">
        <v>163395.82</v>
      </c>
      <c r="G93" s="32">
        <v>2390807638.2399998</v>
      </c>
      <c r="H93" s="24">
        <f t="shared" si="2"/>
        <v>21789.210000000254</v>
      </c>
      <c r="I93" s="25">
        <f t="shared" si="3"/>
        <v>221350781.9477973</v>
      </c>
    </row>
    <row r="94" spans="1:9" ht="15" customHeight="1" x14ac:dyDescent="0.2">
      <c r="A94" s="2">
        <v>45051</v>
      </c>
      <c r="B94" s="2"/>
      <c r="C94" s="1" t="s">
        <v>17</v>
      </c>
      <c r="D94" s="17"/>
      <c r="F94" s="16">
        <v>30</v>
      </c>
      <c r="G94" s="32">
        <v>438960</v>
      </c>
      <c r="H94" s="24">
        <f t="shared" si="2"/>
        <v>21759.210000000254</v>
      </c>
      <c r="I94" s="25">
        <f t="shared" si="3"/>
        <v>220911821.9477973</v>
      </c>
    </row>
    <row r="95" spans="1:9" ht="15" customHeight="1" x14ac:dyDescent="0.2">
      <c r="A95" s="2">
        <v>45056</v>
      </c>
      <c r="B95" s="2"/>
      <c r="C95" s="1" t="s">
        <v>257</v>
      </c>
      <c r="D95" s="17"/>
      <c r="F95" s="16">
        <v>219235.01</v>
      </c>
      <c r="G95" s="32">
        <v>3235251042.5700002</v>
      </c>
      <c r="H95" s="24">
        <f t="shared" si="2"/>
        <v>-197475.79999999976</v>
      </c>
      <c r="I95" s="25">
        <f t="shared" si="3"/>
        <v>-3014339220.6222029</v>
      </c>
    </row>
    <row r="96" spans="1:9" ht="15" customHeight="1" x14ac:dyDescent="0.2">
      <c r="A96" s="2">
        <v>45056</v>
      </c>
      <c r="B96" s="2"/>
      <c r="C96" s="1" t="s">
        <v>17</v>
      </c>
      <c r="D96" s="17"/>
      <c r="F96" s="16">
        <v>30</v>
      </c>
      <c r="G96" s="32">
        <v>442710</v>
      </c>
      <c r="H96" s="24">
        <f t="shared" si="2"/>
        <v>-197505.79999999976</v>
      </c>
      <c r="I96" s="25">
        <f t="shared" si="3"/>
        <v>-3014781930.6222029</v>
      </c>
    </row>
    <row r="97" spans="1:9" ht="15" customHeight="1" x14ac:dyDescent="0.2">
      <c r="A97" s="2">
        <v>45057</v>
      </c>
      <c r="C97" s="1" t="s">
        <v>250</v>
      </c>
      <c r="D97" s="16">
        <v>130073.2</v>
      </c>
      <c r="E97" s="4">
        <v>1909344502.8</v>
      </c>
      <c r="F97" s="102"/>
      <c r="H97" s="24">
        <f t="shared" si="2"/>
        <v>-67432.599999999758</v>
      </c>
      <c r="I97" s="25">
        <f t="shared" si="3"/>
        <v>-1105437427.8222029</v>
      </c>
    </row>
    <row r="98" spans="1:9" ht="15" customHeight="1" x14ac:dyDescent="0.2">
      <c r="A98" s="2">
        <v>45058</v>
      </c>
      <c r="B98" s="2"/>
      <c r="C98" s="1" t="s">
        <v>258</v>
      </c>
      <c r="D98" s="17"/>
      <c r="F98" s="16">
        <v>107043.2</v>
      </c>
      <c r="G98" s="32">
        <v>1575889990.4000001</v>
      </c>
      <c r="H98" s="24">
        <f t="shared" ref="H98:H129" si="4">+H97+D98-F98</f>
        <v>-174475.79999999976</v>
      </c>
      <c r="I98" s="25">
        <f t="shared" ref="I98:I129" si="5">+I97+E98-G98</f>
        <v>-2681327418.2222033</v>
      </c>
    </row>
    <row r="99" spans="1:9" ht="15" customHeight="1" x14ac:dyDescent="0.2">
      <c r="A99" s="2">
        <v>45058</v>
      </c>
      <c r="B99" s="2"/>
      <c r="C99" s="1" t="s">
        <v>17</v>
      </c>
      <c r="F99" s="16">
        <v>30</v>
      </c>
      <c r="G99" s="32">
        <v>441660</v>
      </c>
      <c r="H99" s="24">
        <f t="shared" si="4"/>
        <v>-174505.79999999976</v>
      </c>
      <c r="I99" s="25">
        <f t="shared" si="5"/>
        <v>-2681769078.2222033</v>
      </c>
    </row>
    <row r="100" spans="1:9" ht="15" customHeight="1" x14ac:dyDescent="0.2">
      <c r="A100" s="2">
        <v>45065</v>
      </c>
      <c r="C100" s="1" t="s">
        <v>251</v>
      </c>
      <c r="D100" s="16">
        <v>129952.9</v>
      </c>
      <c r="E100" s="4">
        <v>1915245840.1999998</v>
      </c>
      <c r="F100" s="102"/>
      <c r="H100" s="24">
        <f t="shared" si="4"/>
        <v>-44552.899999999761</v>
      </c>
      <c r="I100" s="25">
        <f t="shared" si="5"/>
        <v>-766523238.02220345</v>
      </c>
    </row>
    <row r="101" spans="1:9" ht="15" customHeight="1" x14ac:dyDescent="0.2">
      <c r="A101" s="2">
        <v>45065</v>
      </c>
      <c r="B101" s="2"/>
      <c r="C101" s="1" t="s">
        <v>259</v>
      </c>
      <c r="F101" s="16">
        <v>106922.9</v>
      </c>
      <c r="G101" s="32">
        <v>1590479206.73</v>
      </c>
      <c r="H101" s="24">
        <f t="shared" si="4"/>
        <v>-151475.79999999976</v>
      </c>
      <c r="I101" s="25">
        <f t="shared" si="5"/>
        <v>-2357002444.7522035</v>
      </c>
    </row>
    <row r="102" spans="1:9" ht="15" customHeight="1" x14ac:dyDescent="0.2">
      <c r="A102" s="2">
        <v>45065</v>
      </c>
      <c r="B102" s="2"/>
      <c r="C102" s="1" t="s">
        <v>17</v>
      </c>
      <c r="F102" s="16">
        <v>30</v>
      </c>
      <c r="G102" s="32">
        <v>446250.3</v>
      </c>
      <c r="H102" s="24">
        <f t="shared" si="4"/>
        <v>-151505.79999999976</v>
      </c>
      <c r="I102" s="25">
        <f t="shared" si="5"/>
        <v>-2357448695.0522037</v>
      </c>
    </row>
    <row r="103" spans="1:9" ht="15" customHeight="1" x14ac:dyDescent="0.2">
      <c r="A103" s="2">
        <v>45068</v>
      </c>
      <c r="C103" s="1" t="s">
        <v>283</v>
      </c>
      <c r="F103" s="17">
        <f>145041-20000-20000-48000-26000-10000</f>
        <v>21041</v>
      </c>
      <c r="G103" s="32">
        <f>2166332376-298720000-298720000-716928000-388336000-149360000</f>
        <v>314268376</v>
      </c>
      <c r="H103" s="24">
        <f t="shared" si="4"/>
        <v>-172546.79999999976</v>
      </c>
      <c r="I103" s="25">
        <f t="shared" si="5"/>
        <v>-2671717071.0522037</v>
      </c>
    </row>
    <row r="104" spans="1:9" ht="15" customHeight="1" x14ac:dyDescent="0.2">
      <c r="A104" s="2">
        <v>45068</v>
      </c>
      <c r="C104" s="1" t="s">
        <v>324</v>
      </c>
      <c r="F104" s="171">
        <v>10000</v>
      </c>
      <c r="G104" s="32">
        <v>149360000</v>
      </c>
      <c r="H104" s="24">
        <f t="shared" si="4"/>
        <v>-182546.79999999976</v>
      </c>
      <c r="I104" s="25">
        <f t="shared" si="5"/>
        <v>-2821077071.0522037</v>
      </c>
    </row>
    <row r="105" spans="1:9" ht="15" customHeight="1" x14ac:dyDescent="0.2">
      <c r="A105" s="2">
        <v>45068</v>
      </c>
      <c r="C105" s="1" t="s">
        <v>323</v>
      </c>
      <c r="F105" s="171">
        <v>26000</v>
      </c>
      <c r="G105" s="32">
        <v>388336000</v>
      </c>
      <c r="H105" s="24">
        <f t="shared" si="4"/>
        <v>-208546.79999999976</v>
      </c>
      <c r="I105" s="25">
        <f t="shared" si="5"/>
        <v>-3209413071.0522037</v>
      </c>
    </row>
    <row r="106" spans="1:9" ht="15" customHeight="1" x14ac:dyDescent="0.2">
      <c r="A106" s="2">
        <v>45068</v>
      </c>
      <c r="C106" s="1" t="s">
        <v>321</v>
      </c>
      <c r="F106" s="66">
        <v>48000</v>
      </c>
      <c r="G106" s="32">
        <v>716928000</v>
      </c>
      <c r="H106" s="24">
        <f t="shared" si="4"/>
        <v>-256546.79999999976</v>
      </c>
      <c r="I106" s="25">
        <f t="shared" si="5"/>
        <v>-3926341071.0522037</v>
      </c>
    </row>
    <row r="107" spans="1:9" ht="15" customHeight="1" x14ac:dyDescent="0.2">
      <c r="A107" s="2">
        <v>45068</v>
      </c>
      <c r="C107" s="1" t="s">
        <v>285</v>
      </c>
      <c r="F107" s="169">
        <v>20000</v>
      </c>
      <c r="G107" s="32">
        <v>298720000</v>
      </c>
      <c r="H107" s="24">
        <f t="shared" si="4"/>
        <v>-276546.79999999976</v>
      </c>
      <c r="I107" s="25">
        <f t="shared" si="5"/>
        <v>-4225061071.0522037</v>
      </c>
    </row>
    <row r="108" spans="1:9" ht="15" customHeight="1" x14ac:dyDescent="0.2">
      <c r="A108" s="2">
        <v>45068</v>
      </c>
      <c r="C108" s="1" t="s">
        <v>284</v>
      </c>
      <c r="F108" s="71">
        <v>20000</v>
      </c>
      <c r="G108" s="32">
        <v>298720000</v>
      </c>
      <c r="H108" s="24">
        <f t="shared" si="4"/>
        <v>-296546.79999999976</v>
      </c>
      <c r="I108" s="25">
        <f t="shared" si="5"/>
        <v>-4523781071.0522041</v>
      </c>
    </row>
    <row r="109" spans="1:9" ht="15" customHeight="1" x14ac:dyDescent="0.2">
      <c r="A109" s="2">
        <v>45068</v>
      </c>
      <c r="C109" s="1" t="s">
        <v>17</v>
      </c>
      <c r="F109" s="17">
        <v>30</v>
      </c>
      <c r="G109" s="32">
        <v>448080</v>
      </c>
      <c r="H109" s="24">
        <f t="shared" si="4"/>
        <v>-296576.79999999976</v>
      </c>
      <c r="I109" s="25">
        <f t="shared" si="5"/>
        <v>-4524229151.0522041</v>
      </c>
    </row>
    <row r="110" spans="1:9" s="4" customFormat="1" ht="15" customHeight="1" x14ac:dyDescent="0.2">
      <c r="A110" s="2">
        <v>45077</v>
      </c>
      <c r="C110" s="4" t="s">
        <v>18</v>
      </c>
      <c r="D110" s="3"/>
      <c r="E110" s="32">
        <f>57416010.29+31340282.8</f>
        <v>88756293.090000004</v>
      </c>
      <c r="G110" s="32"/>
      <c r="H110" s="157">
        <f t="shared" si="4"/>
        <v>-296576.79999999976</v>
      </c>
      <c r="I110" s="158">
        <f t="shared" si="5"/>
        <v>-4435472857.962204</v>
      </c>
    </row>
    <row r="111" spans="1:9" s="4" customFormat="1" ht="15" customHeight="1" x14ac:dyDescent="0.2">
      <c r="A111" s="2">
        <v>45091</v>
      </c>
      <c r="B111" s="2"/>
      <c r="C111" s="1" t="s">
        <v>296</v>
      </c>
      <c r="D111" s="66">
        <v>128101.74</v>
      </c>
      <c r="E111" s="32">
        <v>1905129077.28</v>
      </c>
      <c r="F111" s="17"/>
      <c r="G111" s="32"/>
      <c r="H111" s="24">
        <f t="shared" si="4"/>
        <v>-168475.05999999976</v>
      </c>
      <c r="I111" s="25">
        <f t="shared" si="5"/>
        <v>-2530343780.6822042</v>
      </c>
    </row>
    <row r="112" spans="1:9" s="4" customFormat="1" ht="15" customHeight="1" x14ac:dyDescent="0.2">
      <c r="A112" s="2">
        <v>45092</v>
      </c>
      <c r="B112" s="2"/>
      <c r="C112" s="1" t="s">
        <v>287</v>
      </c>
      <c r="D112" s="3"/>
      <c r="E112" s="32"/>
      <c r="F112" s="66">
        <v>99353.22</v>
      </c>
      <c r="G112" s="32">
        <v>1479866211.9000001</v>
      </c>
      <c r="H112" s="24">
        <f t="shared" si="4"/>
        <v>-267828.2799999998</v>
      </c>
      <c r="I112" s="25">
        <f t="shared" si="5"/>
        <v>-4010209992.5822043</v>
      </c>
    </row>
    <row r="113" spans="1:9" s="4" customFormat="1" ht="15" customHeight="1" x14ac:dyDescent="0.2">
      <c r="A113" s="2">
        <v>45092</v>
      </c>
      <c r="B113" s="2"/>
      <c r="C113" s="1" t="s">
        <v>290</v>
      </c>
      <c r="D113" s="3"/>
      <c r="E113" s="32"/>
      <c r="F113" s="66">
        <v>105071.74</v>
      </c>
      <c r="G113" s="32">
        <v>1565043567.3</v>
      </c>
      <c r="H113" s="24">
        <f t="shared" si="4"/>
        <v>-372900.01999999979</v>
      </c>
      <c r="I113" s="25">
        <f t="shared" si="5"/>
        <v>-5575253559.8822041</v>
      </c>
    </row>
    <row r="114" spans="1:9" s="4" customFormat="1" ht="15" customHeight="1" x14ac:dyDescent="0.2">
      <c r="A114" s="2">
        <v>45092</v>
      </c>
      <c r="B114" s="2"/>
      <c r="C114" s="1" t="s">
        <v>17</v>
      </c>
      <c r="D114" s="3"/>
      <c r="E114" s="32"/>
      <c r="F114" s="66">
        <v>30</v>
      </c>
      <c r="G114" s="32">
        <v>446850</v>
      </c>
      <c r="H114" s="24">
        <f t="shared" si="4"/>
        <v>-372930.01999999979</v>
      </c>
      <c r="I114" s="25">
        <f t="shared" si="5"/>
        <v>-5575700409.8822041</v>
      </c>
    </row>
    <row r="115" spans="1:9" s="4" customFormat="1" ht="15" customHeight="1" x14ac:dyDescent="0.2">
      <c r="A115" s="2">
        <v>45092</v>
      </c>
      <c r="B115" s="2"/>
      <c r="C115" s="1" t="s">
        <v>297</v>
      </c>
      <c r="D115" s="66">
        <v>132585.10999999999</v>
      </c>
      <c r="E115" s="32">
        <v>1971805755.9200001</v>
      </c>
      <c r="G115" s="32"/>
      <c r="H115" s="24">
        <f t="shared" si="4"/>
        <v>-240344.9099999998</v>
      </c>
      <c r="I115" s="25">
        <f t="shared" si="5"/>
        <v>-3603894653.962204</v>
      </c>
    </row>
    <row r="116" spans="1:9" s="4" customFormat="1" ht="15" customHeight="1" x14ac:dyDescent="0.2">
      <c r="A116" s="2">
        <v>45098</v>
      </c>
      <c r="B116" s="2"/>
      <c r="C116" s="1" t="s">
        <v>298</v>
      </c>
      <c r="D116" s="66">
        <v>128629.62</v>
      </c>
      <c r="E116" s="32">
        <v>1917224486.0999999</v>
      </c>
      <c r="G116" s="32"/>
      <c r="H116" s="24">
        <f t="shared" si="4"/>
        <v>-111715.2899999998</v>
      </c>
      <c r="I116" s="25">
        <f t="shared" si="5"/>
        <v>-1686670167.8622041</v>
      </c>
    </row>
    <row r="117" spans="1:9" s="4" customFormat="1" ht="15" customHeight="1" x14ac:dyDescent="0.2">
      <c r="A117" s="2">
        <v>45098</v>
      </c>
      <c r="B117" s="2"/>
      <c r="C117" s="1" t="s">
        <v>299</v>
      </c>
      <c r="D117" s="66">
        <v>129353.22</v>
      </c>
      <c r="E117" s="32">
        <v>1928009744.0999999</v>
      </c>
      <c r="G117" s="32"/>
      <c r="H117" s="24">
        <f t="shared" si="4"/>
        <v>17637.930000000197</v>
      </c>
      <c r="I117" s="25">
        <f t="shared" si="5"/>
        <v>241339576.23779583</v>
      </c>
    </row>
    <row r="118" spans="1:9" s="4" customFormat="1" ht="15" customHeight="1" x14ac:dyDescent="0.2">
      <c r="A118" s="2">
        <v>45103</v>
      </c>
      <c r="B118" s="2"/>
      <c r="C118" s="1" t="s">
        <v>280</v>
      </c>
      <c r="D118" s="3"/>
      <c r="E118" s="32"/>
      <c r="F118" s="66">
        <v>109555.11</v>
      </c>
      <c r="G118" s="32">
        <v>1643107539.78</v>
      </c>
      <c r="H118" s="24">
        <f t="shared" si="4"/>
        <v>-91917.179999999804</v>
      </c>
      <c r="I118" s="25">
        <f t="shared" si="5"/>
        <v>-1401767963.5422041</v>
      </c>
    </row>
    <row r="119" spans="1:9" s="4" customFormat="1" ht="15" customHeight="1" x14ac:dyDescent="0.2">
      <c r="A119" s="2">
        <v>45103</v>
      </c>
      <c r="B119" s="2"/>
      <c r="C119" s="1" t="s">
        <v>17</v>
      </c>
      <c r="D119" s="3"/>
      <c r="E119" s="32"/>
      <c r="F119" s="66">
        <v>30</v>
      </c>
      <c r="G119" s="32">
        <v>449940</v>
      </c>
      <c r="H119" s="24">
        <f t="shared" si="4"/>
        <v>-91947.179999999804</v>
      </c>
      <c r="I119" s="25">
        <f t="shared" si="5"/>
        <v>-1402217903.5422041</v>
      </c>
    </row>
    <row r="120" spans="1:9" s="4" customFormat="1" ht="15" customHeight="1" x14ac:dyDescent="0.2">
      <c r="A120" s="2">
        <v>45104</v>
      </c>
      <c r="B120" s="2"/>
      <c r="C120" s="1" t="s">
        <v>281</v>
      </c>
      <c r="D120" s="3"/>
      <c r="E120" s="32"/>
      <c r="F120" s="66">
        <v>105599.62</v>
      </c>
      <c r="G120" s="32">
        <v>1586739890.1199999</v>
      </c>
      <c r="H120" s="24">
        <f t="shared" si="4"/>
        <v>-197546.79999999981</v>
      </c>
      <c r="I120" s="25">
        <f t="shared" si="5"/>
        <v>-2988957793.6622038</v>
      </c>
    </row>
    <row r="121" spans="1:9" s="4" customFormat="1" ht="15" customHeight="1" x14ac:dyDescent="0.2">
      <c r="A121" s="2">
        <v>45104</v>
      </c>
      <c r="B121" s="2"/>
      <c r="C121" s="1" t="s">
        <v>17</v>
      </c>
      <c r="D121" s="3"/>
      <c r="E121" s="32"/>
      <c r="F121" s="66">
        <v>30</v>
      </c>
      <c r="G121" s="32">
        <v>450780</v>
      </c>
      <c r="H121" s="24">
        <f t="shared" si="4"/>
        <v>-197576.79999999981</v>
      </c>
      <c r="I121" s="25">
        <f t="shared" si="5"/>
        <v>-2989408573.6622038</v>
      </c>
    </row>
    <row r="122" spans="1:9" s="4" customFormat="1" ht="15" customHeight="1" x14ac:dyDescent="0.2">
      <c r="A122" s="2">
        <v>45105</v>
      </c>
      <c r="B122" s="2"/>
      <c r="C122" s="1" t="s">
        <v>300</v>
      </c>
      <c r="D122" s="71">
        <v>255821.92</v>
      </c>
      <c r="E122" s="32">
        <v>3834003115.04</v>
      </c>
      <c r="G122" s="32"/>
      <c r="H122" s="24">
        <f t="shared" si="4"/>
        <v>58245.120000000199</v>
      </c>
      <c r="I122" s="25">
        <f t="shared" si="5"/>
        <v>844594541.37779617</v>
      </c>
    </row>
    <row r="123" spans="1:9" s="4" customFormat="1" ht="15" customHeight="1" x14ac:dyDescent="0.2">
      <c r="A123" s="2">
        <v>45105</v>
      </c>
      <c r="B123" s="2"/>
      <c r="C123" s="1" t="s">
        <v>301</v>
      </c>
      <c r="D123" s="169">
        <v>127374.47</v>
      </c>
      <c r="E123" s="32">
        <v>1908961181.8900001</v>
      </c>
      <c r="G123" s="32"/>
      <c r="H123" s="24">
        <f t="shared" si="4"/>
        <v>185619.5900000002</v>
      </c>
      <c r="I123" s="25">
        <f t="shared" si="5"/>
        <v>2753555723.2677965</v>
      </c>
    </row>
    <row r="124" spans="1:9" ht="15" customHeight="1" x14ac:dyDescent="0.2">
      <c r="A124" s="2">
        <v>45107</v>
      </c>
      <c r="C124" s="1" t="s">
        <v>18</v>
      </c>
      <c r="E124" s="32">
        <f>36772715.7-2149118.4-1020000</f>
        <v>33603597.300000004</v>
      </c>
      <c r="H124" s="157">
        <f t="shared" si="4"/>
        <v>185619.5900000002</v>
      </c>
      <c r="I124" s="158">
        <f t="shared" si="5"/>
        <v>2787159320.5677967</v>
      </c>
    </row>
    <row r="125" spans="1:9" ht="15" customHeight="1" x14ac:dyDescent="0.2">
      <c r="A125" s="2">
        <v>45110</v>
      </c>
      <c r="B125" s="2"/>
      <c r="C125" s="1" t="s">
        <v>285</v>
      </c>
      <c r="F125" s="169">
        <v>107344.47</v>
      </c>
      <c r="G125" s="32">
        <v>1610167050</v>
      </c>
      <c r="H125" s="24">
        <f t="shared" si="4"/>
        <v>78275.120000000199</v>
      </c>
      <c r="I125" s="25">
        <f t="shared" si="5"/>
        <v>1176992270.5677967</v>
      </c>
    </row>
    <row r="126" spans="1:9" ht="15" customHeight="1" x14ac:dyDescent="0.2">
      <c r="A126" s="2">
        <v>45110</v>
      </c>
      <c r="B126" s="2"/>
      <c r="C126" s="1" t="s">
        <v>17</v>
      </c>
      <c r="F126" s="169">
        <v>30</v>
      </c>
      <c r="G126" s="32">
        <v>450000</v>
      </c>
      <c r="H126" s="24">
        <f t="shared" si="4"/>
        <v>78245.120000000199</v>
      </c>
      <c r="I126" s="25">
        <f t="shared" si="5"/>
        <v>1176542270.5677967</v>
      </c>
    </row>
    <row r="127" spans="1:9" ht="15" customHeight="1" x14ac:dyDescent="0.2">
      <c r="A127" s="2">
        <v>45110</v>
      </c>
      <c r="C127" s="1" t="s">
        <v>284</v>
      </c>
      <c r="F127" s="194">
        <v>214882.32</v>
      </c>
      <c r="G127" s="152">
        <v>3223234800</v>
      </c>
      <c r="H127" s="24">
        <f t="shared" si="4"/>
        <v>-136637.19999999981</v>
      </c>
      <c r="I127" s="25">
        <f t="shared" si="5"/>
        <v>-2046692529.4322033</v>
      </c>
    </row>
    <row r="128" spans="1:9" ht="15" customHeight="1" x14ac:dyDescent="0.2">
      <c r="A128" s="2">
        <v>45110</v>
      </c>
      <c r="B128" s="4"/>
      <c r="C128" s="4" t="s">
        <v>17</v>
      </c>
      <c r="F128" s="195">
        <v>30</v>
      </c>
      <c r="G128" s="32">
        <v>450000</v>
      </c>
      <c r="H128" s="24">
        <f t="shared" si="4"/>
        <v>-136667.19999999981</v>
      </c>
      <c r="I128" s="25">
        <f t="shared" si="5"/>
        <v>-2047142529.4322033</v>
      </c>
    </row>
    <row r="129" spans="1:9" ht="15" customHeight="1" x14ac:dyDescent="0.2">
      <c r="A129" s="2">
        <v>45114</v>
      </c>
      <c r="C129" s="1" t="s">
        <v>325</v>
      </c>
      <c r="E129" s="4"/>
      <c r="F129" s="3">
        <f>148034.4-20000-20000-20000-20000-12000-10000-6000-10000</f>
        <v>30034.399999999994</v>
      </c>
      <c r="G129" s="4">
        <f>2229694132.8-301240000-301240000-301240000-301240000-180744000-150620000-90372000-150620000</f>
        <v>452378132.80000019</v>
      </c>
      <c r="H129" s="24">
        <f t="shared" si="4"/>
        <v>-166701.5999999998</v>
      </c>
      <c r="I129" s="25">
        <f t="shared" si="5"/>
        <v>-2499520662.2322035</v>
      </c>
    </row>
    <row r="130" spans="1:9" ht="15" customHeight="1" x14ac:dyDescent="0.2">
      <c r="A130" s="2">
        <v>45114</v>
      </c>
      <c r="C130" s="1" t="s">
        <v>382</v>
      </c>
      <c r="E130" s="4"/>
      <c r="F130" s="209">
        <v>10000</v>
      </c>
      <c r="G130" s="4">
        <v>150620000</v>
      </c>
      <c r="H130" s="24">
        <f t="shared" ref="H130:H161" si="6">+H129+D130-F130</f>
        <v>-176701.5999999998</v>
      </c>
      <c r="I130" s="25">
        <f t="shared" ref="I130:I161" si="7">+I129+E130-G130</f>
        <v>-2650140662.2322035</v>
      </c>
    </row>
    <row r="131" spans="1:9" ht="15" customHeight="1" x14ac:dyDescent="0.2">
      <c r="A131" s="2">
        <v>45114</v>
      </c>
      <c r="C131" s="1" t="s">
        <v>380</v>
      </c>
      <c r="E131" s="4"/>
      <c r="F131" s="207">
        <v>6000</v>
      </c>
      <c r="G131" s="4">
        <v>90372000</v>
      </c>
      <c r="H131" s="24">
        <f t="shared" si="6"/>
        <v>-182701.5999999998</v>
      </c>
      <c r="I131" s="25">
        <f t="shared" si="7"/>
        <v>-2740512662.2322035</v>
      </c>
    </row>
    <row r="132" spans="1:9" ht="15" customHeight="1" x14ac:dyDescent="0.2">
      <c r="A132" s="2">
        <v>45114</v>
      </c>
      <c r="C132" s="1" t="s">
        <v>356</v>
      </c>
      <c r="E132" s="4"/>
      <c r="F132" s="44">
        <v>10000</v>
      </c>
      <c r="G132" s="4">
        <v>150620000</v>
      </c>
      <c r="H132" s="24">
        <f t="shared" si="6"/>
        <v>-192701.5999999998</v>
      </c>
      <c r="I132" s="25">
        <f t="shared" si="7"/>
        <v>-2891132662.2322035</v>
      </c>
    </row>
    <row r="133" spans="1:9" ht="15" customHeight="1" x14ac:dyDescent="0.2">
      <c r="A133" s="2">
        <v>45114</v>
      </c>
      <c r="C133" s="1" t="s">
        <v>357</v>
      </c>
      <c r="E133" s="4"/>
      <c r="F133" s="44">
        <v>12000</v>
      </c>
      <c r="G133" s="4">
        <v>180744000</v>
      </c>
      <c r="H133" s="24">
        <f t="shared" si="6"/>
        <v>-204701.5999999998</v>
      </c>
      <c r="I133" s="25">
        <f t="shared" si="7"/>
        <v>-3071876662.2322035</v>
      </c>
    </row>
    <row r="134" spans="1:9" ht="15" customHeight="1" x14ac:dyDescent="0.2">
      <c r="A134" s="2">
        <v>45114</v>
      </c>
      <c r="C134" s="1" t="s">
        <v>352</v>
      </c>
      <c r="E134" s="4"/>
      <c r="F134" s="44">
        <v>20000</v>
      </c>
      <c r="G134" s="4">
        <v>301240000</v>
      </c>
      <c r="H134" s="24">
        <f t="shared" si="6"/>
        <v>-224701.5999999998</v>
      </c>
      <c r="I134" s="25">
        <f t="shared" si="7"/>
        <v>-3373116662.2322035</v>
      </c>
    </row>
    <row r="135" spans="1:9" ht="15" customHeight="1" x14ac:dyDescent="0.2">
      <c r="A135" s="2">
        <v>45114</v>
      </c>
      <c r="C135" s="1" t="s">
        <v>327</v>
      </c>
      <c r="E135" s="4"/>
      <c r="F135" s="162">
        <v>20000</v>
      </c>
      <c r="G135" s="4">
        <v>301240000</v>
      </c>
      <c r="H135" s="24">
        <f t="shared" si="6"/>
        <v>-244701.5999999998</v>
      </c>
      <c r="I135" s="25">
        <f t="shared" si="7"/>
        <v>-3674356662.2322035</v>
      </c>
    </row>
    <row r="136" spans="1:9" ht="15" customHeight="1" x14ac:dyDescent="0.2">
      <c r="A136" s="2">
        <v>45114</v>
      </c>
      <c r="C136" s="1" t="s">
        <v>326</v>
      </c>
      <c r="E136" s="4"/>
      <c r="F136" s="193">
        <v>20000</v>
      </c>
      <c r="G136" s="4">
        <v>301240000</v>
      </c>
      <c r="H136" s="24">
        <f t="shared" si="6"/>
        <v>-264701.5999999998</v>
      </c>
      <c r="I136" s="25">
        <f t="shared" si="7"/>
        <v>-3975596662.2322035</v>
      </c>
    </row>
    <row r="137" spans="1:9" ht="15" customHeight="1" x14ac:dyDescent="0.2">
      <c r="A137" s="2">
        <v>45114</v>
      </c>
      <c r="C137" s="1" t="s">
        <v>324</v>
      </c>
      <c r="E137" s="4"/>
      <c r="F137" s="171">
        <v>20000</v>
      </c>
      <c r="G137" s="4">
        <v>301240000</v>
      </c>
      <c r="H137" s="24">
        <f t="shared" si="6"/>
        <v>-284701.5999999998</v>
      </c>
      <c r="I137" s="25">
        <f t="shared" si="7"/>
        <v>-4276836662.2322035</v>
      </c>
    </row>
    <row r="138" spans="1:9" ht="15" customHeight="1" x14ac:dyDescent="0.2">
      <c r="A138" s="2">
        <v>45114</v>
      </c>
      <c r="B138" s="2"/>
      <c r="C138" s="1" t="s">
        <v>17</v>
      </c>
      <c r="D138" s="17"/>
      <c r="F138" s="156">
        <v>30</v>
      </c>
      <c r="G138" s="73">
        <v>451860</v>
      </c>
      <c r="H138" s="24">
        <f t="shared" si="6"/>
        <v>-284731.5999999998</v>
      </c>
      <c r="I138" s="25">
        <f t="shared" si="7"/>
        <v>-4277288522.2322035</v>
      </c>
    </row>
    <row r="139" spans="1:9" s="4" customFormat="1" ht="15" customHeight="1" x14ac:dyDescent="0.2">
      <c r="A139" s="2">
        <v>45127</v>
      </c>
      <c r="B139" s="2"/>
      <c r="C139" s="1" t="s">
        <v>337</v>
      </c>
      <c r="D139" s="66">
        <v>254103.39</v>
      </c>
      <c r="E139" s="32">
        <v>3830100397.4699998</v>
      </c>
      <c r="G139" s="32"/>
      <c r="H139" s="24">
        <f t="shared" si="6"/>
        <v>-30628.209999999788</v>
      </c>
      <c r="I139" s="25">
        <f t="shared" si="7"/>
        <v>-447188124.76220369</v>
      </c>
    </row>
    <row r="140" spans="1:9" s="4" customFormat="1" ht="15" customHeight="1" x14ac:dyDescent="0.2">
      <c r="A140" s="2">
        <v>45127</v>
      </c>
      <c r="B140" s="1"/>
      <c r="C140" s="1" t="s">
        <v>321</v>
      </c>
      <c r="D140" s="3"/>
      <c r="E140" s="32"/>
      <c r="F140" s="66">
        <v>206073.39</v>
      </c>
      <c r="G140" s="32">
        <v>3089864409.6599998</v>
      </c>
      <c r="H140" s="24">
        <f t="shared" si="6"/>
        <v>-236701.5999999998</v>
      </c>
      <c r="I140" s="25">
        <f t="shared" si="7"/>
        <v>-3537052534.4222035</v>
      </c>
    </row>
    <row r="141" spans="1:9" s="4" customFormat="1" ht="15" customHeight="1" x14ac:dyDescent="0.2">
      <c r="A141" s="2">
        <v>45127</v>
      </c>
      <c r="B141" s="1"/>
      <c r="C141" s="1" t="s">
        <v>17</v>
      </c>
      <c r="D141" s="3"/>
      <c r="E141" s="32"/>
      <c r="F141" s="66">
        <v>30</v>
      </c>
      <c r="G141" s="32">
        <v>449820</v>
      </c>
      <c r="H141" s="24">
        <f t="shared" si="6"/>
        <v>-236731.5999999998</v>
      </c>
      <c r="I141" s="25">
        <f t="shared" si="7"/>
        <v>-3537502354.4222035</v>
      </c>
    </row>
    <row r="142" spans="1:9" s="4" customFormat="1" ht="15" customHeight="1" x14ac:dyDescent="0.2">
      <c r="A142" s="2">
        <v>45131</v>
      </c>
      <c r="B142" s="2"/>
      <c r="C142" s="1" t="s">
        <v>338</v>
      </c>
      <c r="D142" s="171">
        <v>124118.14</v>
      </c>
      <c r="E142" s="32">
        <v>1870832724.22</v>
      </c>
      <c r="G142" s="32"/>
      <c r="H142" s="24">
        <f t="shared" si="6"/>
        <v>-112613.4599999998</v>
      </c>
      <c r="I142" s="25">
        <f t="shared" si="7"/>
        <v>-1666669630.2022035</v>
      </c>
    </row>
    <row r="143" spans="1:9" s="4" customFormat="1" ht="15" customHeight="1" x14ac:dyDescent="0.2">
      <c r="A143" s="2">
        <v>45132</v>
      </c>
      <c r="B143" s="2"/>
      <c r="C143" s="1" t="s">
        <v>339</v>
      </c>
      <c r="D143" s="171">
        <v>185618.82</v>
      </c>
      <c r="E143" s="32">
        <v>2797832473.8600001</v>
      </c>
      <c r="G143" s="32"/>
      <c r="H143" s="24">
        <f t="shared" si="6"/>
        <v>73005.360000000204</v>
      </c>
      <c r="I143" s="25">
        <f t="shared" si="7"/>
        <v>1131162843.6577966</v>
      </c>
    </row>
    <row r="144" spans="1:9" s="4" customFormat="1" ht="15" customHeight="1" x14ac:dyDescent="0.2">
      <c r="A144" s="2">
        <v>45133</v>
      </c>
      <c r="B144" s="2"/>
      <c r="C144" s="1" t="s">
        <v>323</v>
      </c>
      <c r="D144" s="3"/>
      <c r="E144" s="32"/>
      <c r="F144" s="171">
        <v>98088.14</v>
      </c>
      <c r="G144" s="32">
        <v>1472008716.98</v>
      </c>
      <c r="H144" s="24">
        <f t="shared" si="6"/>
        <v>-25082.779999999795</v>
      </c>
      <c r="I144" s="25">
        <f t="shared" si="7"/>
        <v>-340845873.3222034</v>
      </c>
    </row>
    <row r="145" spans="1:11" s="4" customFormat="1" ht="15" customHeight="1" x14ac:dyDescent="0.2">
      <c r="A145" s="2">
        <v>45133</v>
      </c>
      <c r="B145" s="2"/>
      <c r="C145" s="1" t="s">
        <v>17</v>
      </c>
      <c r="D145" s="3"/>
      <c r="E145" s="32"/>
      <c r="F145" s="171">
        <v>30</v>
      </c>
      <c r="G145" s="32">
        <v>450210</v>
      </c>
      <c r="H145" s="24">
        <f t="shared" si="6"/>
        <v>-25112.779999999795</v>
      </c>
      <c r="I145" s="25">
        <f t="shared" si="7"/>
        <v>-341296083.3222034</v>
      </c>
    </row>
    <row r="146" spans="1:11" s="4" customFormat="1" ht="15" customHeight="1" x14ac:dyDescent="0.2">
      <c r="A146" s="2">
        <v>45134</v>
      </c>
      <c r="B146" s="2"/>
      <c r="C146" s="1" t="s">
        <v>324</v>
      </c>
      <c r="D146" s="3"/>
      <c r="E146" s="32"/>
      <c r="F146" s="171">
        <v>155588.82</v>
      </c>
      <c r="G146" s="32">
        <v>2338811142.2399998</v>
      </c>
      <c r="H146" s="24">
        <f t="shared" si="6"/>
        <v>-180701.5999999998</v>
      </c>
      <c r="I146" s="25">
        <f t="shared" si="7"/>
        <v>-2680107225.5622034</v>
      </c>
    </row>
    <row r="147" spans="1:11" s="4" customFormat="1" ht="15" customHeight="1" x14ac:dyDescent="0.2">
      <c r="A147" s="2">
        <v>45134</v>
      </c>
      <c r="B147" s="2"/>
      <c r="C147" s="1" t="s">
        <v>17</v>
      </c>
      <c r="D147" s="3"/>
      <c r="E147" s="32"/>
      <c r="F147" s="171">
        <v>30</v>
      </c>
      <c r="G147" s="32">
        <v>450960</v>
      </c>
      <c r="H147" s="24">
        <f t="shared" si="6"/>
        <v>-180731.5999999998</v>
      </c>
      <c r="I147" s="25">
        <f t="shared" si="7"/>
        <v>-2680558185.5622034</v>
      </c>
    </row>
    <row r="148" spans="1:11" s="4" customFormat="1" ht="15" customHeight="1" x14ac:dyDescent="0.2">
      <c r="A148" s="2">
        <v>45135</v>
      </c>
      <c r="B148" s="2"/>
      <c r="C148" s="1" t="s">
        <v>340</v>
      </c>
      <c r="D148" s="193">
        <v>124011.78</v>
      </c>
      <c r="E148" s="32">
        <v>1860796758.9000001</v>
      </c>
      <c r="G148" s="32"/>
      <c r="H148" s="24">
        <f t="shared" si="6"/>
        <v>-56719.819999999803</v>
      </c>
      <c r="I148" s="25">
        <f t="shared" si="7"/>
        <v>-819761426.66220331</v>
      </c>
    </row>
    <row r="149" spans="1:11" s="4" customFormat="1" ht="15" customHeight="1" x14ac:dyDescent="0.2">
      <c r="A149" s="2">
        <v>45135</v>
      </c>
      <c r="B149" s="2"/>
      <c r="C149" s="1" t="s">
        <v>341</v>
      </c>
      <c r="D149" s="162">
        <v>122373.47</v>
      </c>
      <c r="E149" s="32">
        <v>1836213917.3499999</v>
      </c>
      <c r="G149" s="32"/>
      <c r="H149" s="24">
        <f t="shared" si="6"/>
        <v>65653.650000000198</v>
      </c>
      <c r="I149" s="25">
        <f t="shared" si="7"/>
        <v>1016452490.6877966</v>
      </c>
    </row>
    <row r="150" spans="1:11" s="4" customFormat="1" ht="15" customHeight="1" x14ac:dyDescent="0.2">
      <c r="A150" s="2">
        <v>45138</v>
      </c>
      <c r="B150" s="2"/>
      <c r="C150" s="1" t="s">
        <v>358</v>
      </c>
      <c r="D150" s="17"/>
      <c r="F150" s="156">
        <f>99562.4-30000-12000-12000-10000-12000-12960+12960+27464</f>
        <v>51026.399999999994</v>
      </c>
      <c r="G150" s="25">
        <f>1501699679.2-452490000-180996000-180996000-150830000-180996000-195475680+592796337.6</f>
        <v>752712336.80000007</v>
      </c>
      <c r="H150" s="24">
        <f t="shared" si="6"/>
        <v>14627.250000000204</v>
      </c>
      <c r="I150" s="25">
        <f t="shared" si="7"/>
        <v>263740153.88779652</v>
      </c>
    </row>
    <row r="151" spans="1:11" s="4" customFormat="1" ht="15" customHeight="1" x14ac:dyDescent="0.2">
      <c r="A151" s="2">
        <v>45138</v>
      </c>
      <c r="B151" s="2"/>
      <c r="C151" s="1" t="s">
        <v>396</v>
      </c>
      <c r="D151" s="17"/>
      <c r="F151" s="190">
        <v>12960</v>
      </c>
      <c r="G151" s="25">
        <v>195475680</v>
      </c>
      <c r="H151" s="24">
        <f t="shared" si="6"/>
        <v>1667.2500000002037</v>
      </c>
      <c r="I151" s="25">
        <f t="shared" si="7"/>
        <v>68264473.887796521</v>
      </c>
    </row>
    <row r="152" spans="1:11" s="4" customFormat="1" ht="15" customHeight="1" x14ac:dyDescent="0.2">
      <c r="A152" s="2">
        <v>45138</v>
      </c>
      <c r="B152" s="2"/>
      <c r="C152" s="1" t="s">
        <v>382</v>
      </c>
      <c r="D152" s="17"/>
      <c r="F152" s="210">
        <v>12000</v>
      </c>
      <c r="G152" s="25">
        <v>180996000</v>
      </c>
      <c r="H152" s="24">
        <f t="shared" si="6"/>
        <v>-10332.749999999796</v>
      </c>
      <c r="I152" s="25">
        <f t="shared" si="7"/>
        <v>-112731526.11220348</v>
      </c>
    </row>
    <row r="153" spans="1:11" s="4" customFormat="1" ht="15" customHeight="1" x14ac:dyDescent="0.2">
      <c r="A153" s="2">
        <v>45138</v>
      </c>
      <c r="B153" s="2"/>
      <c r="C153" s="1" t="s">
        <v>380</v>
      </c>
      <c r="D153" s="17"/>
      <c r="F153" s="208">
        <v>10000</v>
      </c>
      <c r="G153" s="25">
        <v>150830000</v>
      </c>
      <c r="H153" s="24">
        <f t="shared" si="6"/>
        <v>-20332.749999999796</v>
      </c>
      <c r="I153" s="25">
        <f t="shared" si="7"/>
        <v>-263561526.11220348</v>
      </c>
    </row>
    <row r="154" spans="1:11" s="4" customFormat="1" ht="15" customHeight="1" x14ac:dyDescent="0.2">
      <c r="A154" s="2">
        <v>45138</v>
      </c>
      <c r="B154" s="2"/>
      <c r="C154" s="1" t="s">
        <v>356</v>
      </c>
      <c r="D154" s="17"/>
      <c r="F154" s="204">
        <v>12000</v>
      </c>
      <c r="G154" s="25">
        <v>180996000</v>
      </c>
      <c r="H154" s="24">
        <f t="shared" si="6"/>
        <v>-32332.749999999796</v>
      </c>
      <c r="I154" s="25">
        <f t="shared" si="7"/>
        <v>-444557526.11220348</v>
      </c>
    </row>
    <row r="155" spans="1:11" s="4" customFormat="1" ht="15" customHeight="1" x14ac:dyDescent="0.2">
      <c r="A155" s="2">
        <v>45138</v>
      </c>
      <c r="B155" s="2"/>
      <c r="C155" s="1" t="s">
        <v>357</v>
      </c>
      <c r="D155" s="17"/>
      <c r="F155" s="204">
        <v>12000</v>
      </c>
      <c r="G155" s="25">
        <v>180996000</v>
      </c>
      <c r="H155" s="24">
        <f t="shared" si="6"/>
        <v>-44332.749999999796</v>
      </c>
      <c r="I155" s="25">
        <f t="shared" si="7"/>
        <v>-625553526.11220348</v>
      </c>
    </row>
    <row r="156" spans="1:11" s="4" customFormat="1" ht="15" customHeight="1" x14ac:dyDescent="0.2">
      <c r="A156" s="2">
        <v>45138</v>
      </c>
      <c r="B156" s="2"/>
      <c r="C156" s="1" t="s">
        <v>359</v>
      </c>
      <c r="D156" s="17"/>
      <c r="F156" s="161">
        <v>30000</v>
      </c>
      <c r="G156" s="25">
        <v>452490000</v>
      </c>
      <c r="H156" s="24">
        <f t="shared" si="6"/>
        <v>-74332.749999999796</v>
      </c>
      <c r="I156" s="25">
        <f t="shared" si="7"/>
        <v>-1078043526.1122036</v>
      </c>
    </row>
    <row r="157" spans="1:11" ht="15" customHeight="1" x14ac:dyDescent="0.2">
      <c r="A157" s="2">
        <v>45138</v>
      </c>
      <c r="B157" s="2"/>
      <c r="C157" s="1" t="s">
        <v>17</v>
      </c>
      <c r="D157" s="17"/>
      <c r="E157" s="4"/>
      <c r="F157" s="156">
        <v>30</v>
      </c>
      <c r="G157" s="25">
        <v>452490</v>
      </c>
      <c r="H157" s="24">
        <f t="shared" si="6"/>
        <v>-74362.749999999796</v>
      </c>
      <c r="I157" s="25">
        <f t="shared" si="7"/>
        <v>-1078496016.1122036</v>
      </c>
      <c r="J157" s="1"/>
      <c r="K157" s="1"/>
    </row>
    <row r="158" spans="1:11" s="4" customFormat="1" ht="15" customHeight="1" x14ac:dyDescent="0.2">
      <c r="A158" s="198">
        <v>45138</v>
      </c>
      <c r="C158" s="4" t="s">
        <v>18</v>
      </c>
      <c r="D158" s="3"/>
      <c r="E158" s="32"/>
      <c r="G158" s="32">
        <f>18008168.86-1140000-1140000+6576000-1395868.11-2793860.16+16282167.81</f>
        <v>34396608.399999999</v>
      </c>
      <c r="H158" s="157">
        <f t="shared" si="6"/>
        <v>-74362.749999999796</v>
      </c>
      <c r="I158" s="158">
        <f t="shared" si="7"/>
        <v>-1112892624.5122037</v>
      </c>
    </row>
    <row r="159" spans="1:11" s="4" customFormat="1" ht="15" customHeight="1" x14ac:dyDescent="0.2">
      <c r="A159" s="2">
        <v>45139</v>
      </c>
      <c r="B159" s="2"/>
      <c r="C159" s="1" t="s">
        <v>326</v>
      </c>
      <c r="D159" s="3"/>
      <c r="E159" s="32"/>
      <c r="F159" s="193">
        <v>103981.78</v>
      </c>
      <c r="G159" s="32">
        <v>1569293023.76</v>
      </c>
      <c r="H159" s="24">
        <f t="shared" si="6"/>
        <v>-178344.5299999998</v>
      </c>
      <c r="I159" s="25">
        <f t="shared" si="7"/>
        <v>-2682185648.2722034</v>
      </c>
    </row>
    <row r="160" spans="1:11" s="4" customFormat="1" ht="15" customHeight="1" x14ac:dyDescent="0.2">
      <c r="A160" s="2">
        <v>45139</v>
      </c>
      <c r="B160" s="2"/>
      <c r="C160" s="1" t="s">
        <v>17</v>
      </c>
      <c r="D160" s="3"/>
      <c r="E160" s="32"/>
      <c r="F160" s="193">
        <v>30</v>
      </c>
      <c r="G160" s="32">
        <v>452760</v>
      </c>
      <c r="H160" s="24">
        <f t="shared" si="6"/>
        <v>-178374.5299999998</v>
      </c>
      <c r="I160" s="25">
        <f t="shared" si="7"/>
        <v>-2682638408.2722034</v>
      </c>
    </row>
    <row r="161" spans="1:9" s="4" customFormat="1" ht="15" customHeight="1" x14ac:dyDescent="0.2">
      <c r="A161" s="2">
        <v>45140</v>
      </c>
      <c r="B161" s="2"/>
      <c r="C161" s="1" t="s">
        <v>327</v>
      </c>
      <c r="D161" s="3"/>
      <c r="E161" s="32"/>
      <c r="F161" s="162">
        <v>102343.47</v>
      </c>
      <c r="G161" s="32">
        <v>1547126235.99</v>
      </c>
      <c r="H161" s="24">
        <f t="shared" si="6"/>
        <v>-280717.99999999977</v>
      </c>
      <c r="I161" s="25">
        <f t="shared" si="7"/>
        <v>-4229764644.2622032</v>
      </c>
    </row>
    <row r="162" spans="1:9" s="4" customFormat="1" ht="15" customHeight="1" x14ac:dyDescent="0.2">
      <c r="A162" s="2">
        <v>45140</v>
      </c>
      <c r="B162" s="2"/>
      <c r="C162" s="1" t="s">
        <v>17</v>
      </c>
      <c r="D162" s="3"/>
      <c r="E162" s="32"/>
      <c r="F162" s="162">
        <v>30</v>
      </c>
      <c r="G162" s="32">
        <v>453510</v>
      </c>
      <c r="H162" s="24">
        <f t="shared" ref="H162:H197" si="8">+H161+D162-F162</f>
        <v>-280747.99999999977</v>
      </c>
      <c r="I162" s="25">
        <f t="shared" ref="I162:I197" si="9">+I161+E162-G162</f>
        <v>-4230218154.2622032</v>
      </c>
    </row>
    <row r="163" spans="1:9" s="4" customFormat="1" ht="15" customHeight="1" x14ac:dyDescent="0.2">
      <c r="A163" s="2">
        <v>45141</v>
      </c>
      <c r="B163" s="1"/>
      <c r="C163" s="1" t="s">
        <v>362</v>
      </c>
      <c r="D163" s="44">
        <v>185335.76</v>
      </c>
      <c r="E163" s="32">
        <v>2785781808.5599999</v>
      </c>
      <c r="G163" s="32"/>
      <c r="H163" s="24">
        <f t="shared" si="8"/>
        <v>-95412.239999999758</v>
      </c>
      <c r="I163" s="25">
        <f t="shared" si="9"/>
        <v>-1444436345.7022033</v>
      </c>
    </row>
    <row r="164" spans="1:9" s="4" customFormat="1" ht="15" customHeight="1" x14ac:dyDescent="0.2">
      <c r="A164" s="2">
        <v>45145</v>
      </c>
      <c r="B164" s="2"/>
      <c r="C164" s="1" t="s">
        <v>352</v>
      </c>
      <c r="D164" s="3"/>
      <c r="E164" s="32"/>
      <c r="F164" s="44">
        <v>165305.76</v>
      </c>
      <c r="G164" s="32">
        <v>2507357767.6799998</v>
      </c>
      <c r="H164" s="24">
        <f t="shared" si="8"/>
        <v>-260717.99999999977</v>
      </c>
      <c r="I164" s="25">
        <f t="shared" si="9"/>
        <v>-3951794113.3822031</v>
      </c>
    </row>
    <row r="165" spans="1:9" s="4" customFormat="1" ht="15" customHeight="1" x14ac:dyDescent="0.2">
      <c r="A165" s="2">
        <v>45145</v>
      </c>
      <c r="B165" s="2"/>
      <c r="C165" s="1" t="s">
        <v>17</v>
      </c>
      <c r="D165" s="3"/>
      <c r="E165" s="32"/>
      <c r="F165" s="44">
        <v>30</v>
      </c>
      <c r="G165" s="32">
        <v>455040</v>
      </c>
      <c r="H165" s="24">
        <f t="shared" si="8"/>
        <v>-260747.99999999977</v>
      </c>
      <c r="I165" s="25">
        <f t="shared" si="9"/>
        <v>-3952249153.3822031</v>
      </c>
    </row>
    <row r="166" spans="1:9" s="4" customFormat="1" ht="15" customHeight="1" x14ac:dyDescent="0.2">
      <c r="A166" s="2">
        <v>45161</v>
      </c>
      <c r="B166" s="2"/>
      <c r="C166" s="1" t="s">
        <v>372</v>
      </c>
      <c r="D166" s="44">
        <v>182638.07</v>
      </c>
      <c r="E166" s="32">
        <v>2798380508.54</v>
      </c>
      <c r="G166" s="32"/>
      <c r="H166" s="24">
        <f t="shared" si="8"/>
        <v>-78109.92999999976</v>
      </c>
      <c r="I166" s="25">
        <f t="shared" si="9"/>
        <v>-1153868644.8422031</v>
      </c>
    </row>
    <row r="167" spans="1:9" s="4" customFormat="1" ht="15" customHeight="1" x14ac:dyDescent="0.2">
      <c r="A167" s="2">
        <v>45163</v>
      </c>
      <c r="B167" s="2"/>
      <c r="C167" s="1" t="s">
        <v>357</v>
      </c>
      <c r="D167" s="3"/>
      <c r="E167" s="32"/>
      <c r="F167" s="44">
        <v>158608.07</v>
      </c>
      <c r="G167" s="32">
        <v>2419248891.71</v>
      </c>
      <c r="H167" s="24">
        <f t="shared" si="8"/>
        <v>-236717.99999999977</v>
      </c>
      <c r="I167" s="25">
        <f t="shared" si="9"/>
        <v>-3573117536.5522032</v>
      </c>
    </row>
    <row r="168" spans="1:9" s="4" customFormat="1" ht="15" customHeight="1" x14ac:dyDescent="0.2">
      <c r="A168" s="2">
        <v>45163</v>
      </c>
      <c r="B168" s="2"/>
      <c r="C168" s="1" t="s">
        <v>17</v>
      </c>
      <c r="D168" s="3"/>
      <c r="E168" s="32"/>
      <c r="F168" s="44">
        <v>30</v>
      </c>
      <c r="G168" s="32">
        <v>457590</v>
      </c>
      <c r="H168" s="24">
        <f t="shared" si="8"/>
        <v>-236747.99999999977</v>
      </c>
      <c r="I168" s="25">
        <f t="shared" si="9"/>
        <v>-3573575126.5522032</v>
      </c>
    </row>
    <row r="169" spans="1:9" s="4" customFormat="1" ht="15" customHeight="1" x14ac:dyDescent="0.2">
      <c r="A169" s="2">
        <v>45161</v>
      </c>
      <c r="B169" s="2"/>
      <c r="C169" s="1" t="s">
        <v>374</v>
      </c>
      <c r="D169" s="44">
        <v>125300.77</v>
      </c>
      <c r="E169" s="32">
        <v>1919858397.9400001</v>
      </c>
      <c r="G169" s="32"/>
      <c r="H169" s="24">
        <f t="shared" si="8"/>
        <v>-111447.22999999976</v>
      </c>
      <c r="I169" s="25">
        <f t="shared" si="9"/>
        <v>-1653716728.6122031</v>
      </c>
    </row>
    <row r="170" spans="1:9" s="4" customFormat="1" ht="15" customHeight="1" x14ac:dyDescent="0.2">
      <c r="A170" s="2">
        <v>45163</v>
      </c>
      <c r="B170" s="2"/>
      <c r="C170" s="1" t="s">
        <v>356</v>
      </c>
      <c r="D170" s="3"/>
      <c r="E170" s="32"/>
      <c r="F170" s="44">
        <v>103270.77</v>
      </c>
      <c r="G170" s="32">
        <v>1575189054.8099999</v>
      </c>
      <c r="H170" s="24">
        <f t="shared" si="8"/>
        <v>-214717.99999999977</v>
      </c>
      <c r="I170" s="25">
        <f t="shared" si="9"/>
        <v>-3228905783.4222031</v>
      </c>
    </row>
    <row r="171" spans="1:9" s="4" customFormat="1" ht="15" customHeight="1" x14ac:dyDescent="0.2">
      <c r="A171" s="2">
        <v>45163</v>
      </c>
      <c r="B171" s="2"/>
      <c r="C171" s="1" t="s">
        <v>17</v>
      </c>
      <c r="D171" s="3"/>
      <c r="E171" s="32"/>
      <c r="F171" s="44">
        <v>30</v>
      </c>
      <c r="G171" s="32">
        <v>457590</v>
      </c>
      <c r="H171" s="24">
        <f t="shared" si="8"/>
        <v>-214747.99999999977</v>
      </c>
      <c r="I171" s="25">
        <f t="shared" si="9"/>
        <v>-3229363373.4222031</v>
      </c>
    </row>
    <row r="172" spans="1:9" s="4" customFormat="1" ht="15" customHeight="1" x14ac:dyDescent="0.2">
      <c r="A172" s="2">
        <v>45167</v>
      </c>
      <c r="B172" s="2"/>
      <c r="C172" s="1" t="s">
        <v>379</v>
      </c>
      <c r="D172" s="207">
        <v>124183.2</v>
      </c>
      <c r="E172" s="32">
        <v>1902734990.4000001</v>
      </c>
      <c r="G172" s="32"/>
      <c r="H172" s="24">
        <f t="shared" si="8"/>
        <v>-90564.79999999977</v>
      </c>
      <c r="I172" s="25">
        <f t="shared" si="9"/>
        <v>-1326628383.022203</v>
      </c>
    </row>
    <row r="173" spans="1:9" s="4" customFormat="1" ht="15" customHeight="1" x14ac:dyDescent="0.2">
      <c r="A173" s="2">
        <v>45168</v>
      </c>
      <c r="B173" s="2"/>
      <c r="C173" s="1" t="s">
        <v>381</v>
      </c>
      <c r="D173" s="209">
        <v>184743.92</v>
      </c>
      <c r="E173" s="32">
        <v>2827505695.5999999</v>
      </c>
      <c r="G173" s="32"/>
      <c r="H173" s="24">
        <f t="shared" si="8"/>
        <v>94179.120000000243</v>
      </c>
      <c r="I173" s="25">
        <f t="shared" si="9"/>
        <v>1500877312.5777969</v>
      </c>
    </row>
    <row r="174" spans="1:9" s="4" customFormat="1" ht="15" customHeight="1" x14ac:dyDescent="0.2">
      <c r="A174" s="2">
        <v>45168</v>
      </c>
      <c r="B174" s="1"/>
      <c r="C174" s="1" t="s">
        <v>360</v>
      </c>
      <c r="D174" s="16">
        <v>183793.06</v>
      </c>
      <c r="E174" s="32">
        <v>2812952783.3000002</v>
      </c>
      <c r="G174" s="32"/>
      <c r="H174" s="24">
        <f t="shared" si="8"/>
        <v>277972.18000000023</v>
      </c>
      <c r="I174" s="25">
        <f t="shared" si="9"/>
        <v>4313830095.8777971</v>
      </c>
    </row>
    <row r="175" spans="1:9" s="4" customFormat="1" ht="15" customHeight="1" x14ac:dyDescent="0.2">
      <c r="A175" s="198">
        <v>45169</v>
      </c>
      <c r="C175" s="4" t="s">
        <v>18</v>
      </c>
      <c r="D175" s="3"/>
      <c r="E175" s="32">
        <v>832072.66</v>
      </c>
      <c r="G175" s="32"/>
      <c r="H175" s="157">
        <f t="shared" si="8"/>
        <v>277972.18000000023</v>
      </c>
      <c r="I175" s="158">
        <f t="shared" si="9"/>
        <v>4314662168.537797</v>
      </c>
    </row>
    <row r="176" spans="1:9" ht="15" customHeight="1" x14ac:dyDescent="0.2">
      <c r="A176" s="2">
        <v>45174</v>
      </c>
      <c r="B176" s="2"/>
      <c r="C176" s="1" t="s">
        <v>382</v>
      </c>
      <c r="F176" s="209">
        <v>162713.92000000001</v>
      </c>
      <c r="G176" s="189">
        <v>2480899138.2399998</v>
      </c>
      <c r="H176" s="3">
        <f t="shared" si="8"/>
        <v>115258.26000000021</v>
      </c>
      <c r="I176" s="4">
        <f t="shared" si="9"/>
        <v>1833763030.2977972</v>
      </c>
    </row>
    <row r="177" spans="1:9" ht="15" customHeight="1" x14ac:dyDescent="0.2">
      <c r="A177" s="2">
        <v>45174</v>
      </c>
      <c r="B177" s="2"/>
      <c r="C177" s="1" t="s">
        <v>17</v>
      </c>
      <c r="F177" s="209">
        <v>30</v>
      </c>
      <c r="G177" s="189">
        <v>457410</v>
      </c>
      <c r="H177" s="3">
        <f t="shared" si="8"/>
        <v>115228.26000000021</v>
      </c>
      <c r="I177" s="4">
        <f t="shared" si="9"/>
        <v>1833305620.2977972</v>
      </c>
    </row>
    <row r="178" spans="1:9" ht="15" customHeight="1" x14ac:dyDescent="0.2">
      <c r="A178" s="2">
        <v>45174</v>
      </c>
      <c r="B178" s="2"/>
      <c r="C178" s="1" t="s">
        <v>380</v>
      </c>
      <c r="F178" s="207">
        <v>108153.2</v>
      </c>
      <c r="G178" s="189">
        <v>1649011840.4000001</v>
      </c>
      <c r="H178" s="3">
        <f t="shared" si="8"/>
        <v>7075.060000000216</v>
      </c>
      <c r="I178" s="4">
        <f t="shared" si="9"/>
        <v>184293779.89779711</v>
      </c>
    </row>
    <row r="179" spans="1:9" ht="15" customHeight="1" x14ac:dyDescent="0.2">
      <c r="A179" s="2">
        <v>45174</v>
      </c>
      <c r="B179" s="2"/>
      <c r="C179" s="1" t="s">
        <v>17</v>
      </c>
      <c r="F179" s="207">
        <v>30</v>
      </c>
      <c r="G179" s="189">
        <v>457410</v>
      </c>
      <c r="H179" s="3">
        <f t="shared" si="8"/>
        <v>7045.060000000216</v>
      </c>
      <c r="I179" s="4">
        <f t="shared" si="9"/>
        <v>183836369.89779711</v>
      </c>
    </row>
    <row r="180" spans="1:9" ht="15" customHeight="1" x14ac:dyDescent="0.2">
      <c r="A180" s="2">
        <v>45175</v>
      </c>
      <c r="B180" s="2"/>
      <c r="C180" s="1" t="s">
        <v>359</v>
      </c>
      <c r="F180" s="16">
        <v>153763.06</v>
      </c>
      <c r="G180" s="189">
        <v>2346424295.5999999</v>
      </c>
      <c r="H180" s="3">
        <f t="shared" si="8"/>
        <v>-146717.99999999977</v>
      </c>
      <c r="I180" s="4">
        <f t="shared" si="9"/>
        <v>-2162587925.7022028</v>
      </c>
    </row>
    <row r="181" spans="1:9" ht="15" customHeight="1" x14ac:dyDescent="0.2">
      <c r="A181" s="2">
        <v>45175</v>
      </c>
      <c r="B181" s="2"/>
      <c r="C181" s="1" t="s">
        <v>17</v>
      </c>
      <c r="F181" s="16">
        <v>30</v>
      </c>
      <c r="G181" s="189">
        <v>457800</v>
      </c>
      <c r="H181" s="3">
        <f t="shared" si="8"/>
        <v>-146747.99999999977</v>
      </c>
      <c r="I181" s="4">
        <f t="shared" si="9"/>
        <v>-2163045725.7022028</v>
      </c>
    </row>
    <row r="182" spans="1:9" ht="15" customHeight="1" x14ac:dyDescent="0.2">
      <c r="A182" s="2">
        <v>45177</v>
      </c>
      <c r="C182" s="1" t="s">
        <v>393</v>
      </c>
      <c r="E182" s="4"/>
      <c r="F182" s="17">
        <f>139611.8-30000-18000-30000-30000-10000</f>
        <v>21611.799999999988</v>
      </c>
      <c r="G182" s="32">
        <f>2140807341.2-461490000-276894000-461490000-461490000-153830000</f>
        <v>325613341.20000005</v>
      </c>
      <c r="H182" s="3">
        <f t="shared" si="8"/>
        <v>-168359.79999999976</v>
      </c>
      <c r="I182" s="4">
        <f t="shared" si="9"/>
        <v>-2488659066.9022026</v>
      </c>
    </row>
    <row r="183" spans="1:9" ht="15" customHeight="1" x14ac:dyDescent="0.2">
      <c r="A183" s="2">
        <v>45177</v>
      </c>
      <c r="C183" s="1" t="s">
        <v>421</v>
      </c>
      <c r="E183" s="4"/>
      <c r="F183" s="71">
        <v>10000</v>
      </c>
      <c r="G183" s="32">
        <v>153830000</v>
      </c>
      <c r="H183" s="3">
        <f t="shared" ref="H183:H184" si="10">+H182+D183-F183</f>
        <v>-178359.79999999976</v>
      </c>
      <c r="I183" s="4">
        <f t="shared" ref="I183:I184" si="11">+I182+E183-G183</f>
        <v>-2642489066.9022026</v>
      </c>
    </row>
    <row r="184" spans="1:9" ht="15" customHeight="1" x14ac:dyDescent="0.2">
      <c r="A184" s="2">
        <v>45177</v>
      </c>
      <c r="C184" s="1" t="s">
        <v>411</v>
      </c>
      <c r="E184" s="4"/>
      <c r="F184" s="162">
        <v>30000</v>
      </c>
      <c r="G184" s="32">
        <v>461490000</v>
      </c>
      <c r="H184" s="3">
        <f t="shared" si="10"/>
        <v>-208359.79999999976</v>
      </c>
      <c r="I184" s="4">
        <f t="shared" si="11"/>
        <v>-3103979066.9022026</v>
      </c>
    </row>
    <row r="185" spans="1:9" ht="15" customHeight="1" x14ac:dyDescent="0.2">
      <c r="A185" s="2">
        <v>45177</v>
      </c>
      <c r="C185" s="1" t="s">
        <v>400</v>
      </c>
      <c r="E185" s="4"/>
      <c r="F185" s="66">
        <v>30000</v>
      </c>
      <c r="G185" s="32">
        <v>461490000</v>
      </c>
      <c r="H185" s="3">
        <f t="shared" si="8"/>
        <v>-238359.79999999976</v>
      </c>
      <c r="I185" s="4">
        <f t="shared" si="9"/>
        <v>-3565469066.9022026</v>
      </c>
    </row>
    <row r="186" spans="1:9" ht="15" customHeight="1" x14ac:dyDescent="0.2">
      <c r="A186" s="2">
        <v>45177</v>
      </c>
      <c r="C186" s="1" t="s">
        <v>396</v>
      </c>
      <c r="E186" s="4"/>
      <c r="F186" s="66">
        <v>18000</v>
      </c>
      <c r="G186" s="32">
        <v>276894000</v>
      </c>
      <c r="H186" s="3">
        <f t="shared" si="8"/>
        <v>-256359.79999999976</v>
      </c>
      <c r="I186" s="4">
        <f t="shared" si="9"/>
        <v>-3842363066.9022026</v>
      </c>
    </row>
    <row r="187" spans="1:9" ht="15" customHeight="1" x14ac:dyDescent="0.2">
      <c r="A187" s="2">
        <v>45177</v>
      </c>
      <c r="C187" s="1" t="s">
        <v>392</v>
      </c>
      <c r="E187" s="4"/>
      <c r="F187" s="66">
        <v>30000</v>
      </c>
      <c r="G187" s="32">
        <v>461490000</v>
      </c>
      <c r="H187" s="3">
        <f t="shared" si="8"/>
        <v>-286359.79999999976</v>
      </c>
      <c r="I187" s="4">
        <f t="shared" si="9"/>
        <v>-4303853066.9022026</v>
      </c>
    </row>
    <row r="188" spans="1:9" ht="15" customHeight="1" x14ac:dyDescent="0.2">
      <c r="A188" s="2">
        <v>45177</v>
      </c>
      <c r="C188" s="1" t="s">
        <v>17</v>
      </c>
      <c r="E188" s="4"/>
      <c r="F188" s="17">
        <v>30</v>
      </c>
      <c r="G188" s="4">
        <v>460020</v>
      </c>
      <c r="H188" s="3">
        <f t="shared" si="8"/>
        <v>-286389.79999999976</v>
      </c>
      <c r="I188" s="4">
        <f t="shared" si="9"/>
        <v>-4304313086.9022026</v>
      </c>
    </row>
    <row r="189" spans="1:9" ht="15" customHeight="1" x14ac:dyDescent="0.2">
      <c r="A189" s="2">
        <v>45181</v>
      </c>
      <c r="C189" s="1" t="s">
        <v>423</v>
      </c>
      <c r="D189" s="17"/>
      <c r="F189" s="71">
        <f>73453.2-30000-20000-10000</f>
        <v>13453.199999999997</v>
      </c>
      <c r="G189" s="32">
        <f>1127653526.4-460560000-307040000-153520000</f>
        <v>206533526.4000001</v>
      </c>
      <c r="H189" s="3">
        <f t="shared" si="8"/>
        <v>-299842.99999999977</v>
      </c>
      <c r="I189" s="4">
        <f t="shared" si="9"/>
        <v>-4510846613.3022022</v>
      </c>
    </row>
    <row r="190" spans="1:9" ht="15" customHeight="1" x14ac:dyDescent="0.2">
      <c r="A190" s="2">
        <v>45181</v>
      </c>
      <c r="C190" s="1" t="s">
        <v>421</v>
      </c>
      <c r="D190" s="17"/>
      <c r="F190" s="71">
        <v>10000</v>
      </c>
      <c r="G190" s="32">
        <v>153520000</v>
      </c>
      <c r="H190" s="3">
        <f t="shared" ref="H190:H191" si="12">+H189+D190-F190</f>
        <v>-309842.99999999977</v>
      </c>
      <c r="I190" s="4">
        <f t="shared" ref="I190:I191" si="13">+I189+E190-G190</f>
        <v>-4664366613.3022022</v>
      </c>
    </row>
    <row r="191" spans="1:9" ht="15" customHeight="1" x14ac:dyDescent="0.2">
      <c r="A191" s="2">
        <v>45181</v>
      </c>
      <c r="C191" s="1" t="s">
        <v>419</v>
      </c>
      <c r="D191" s="17"/>
      <c r="F191" s="71">
        <v>20000</v>
      </c>
      <c r="G191" s="32">
        <v>307040000</v>
      </c>
      <c r="H191" s="3">
        <f t="shared" si="12"/>
        <v>-329842.99999999977</v>
      </c>
      <c r="I191" s="4">
        <f t="shared" si="13"/>
        <v>-4971406613.3022022</v>
      </c>
    </row>
    <row r="192" spans="1:9" ht="15" customHeight="1" x14ac:dyDescent="0.2">
      <c r="A192" s="2">
        <v>45181</v>
      </c>
      <c r="C192" s="1" t="s">
        <v>416</v>
      </c>
      <c r="D192" s="17"/>
      <c r="F192" s="199">
        <v>30000</v>
      </c>
      <c r="G192" s="32">
        <v>460560000</v>
      </c>
      <c r="H192" s="3">
        <f t="shared" ref="H192" si="14">+H191+D192-F192</f>
        <v>-359842.99999999977</v>
      </c>
      <c r="I192" s="4">
        <f t="shared" ref="I192" si="15">+I191+E192-G192</f>
        <v>-5431966613.3022022</v>
      </c>
    </row>
    <row r="193" spans="1:9" ht="15" customHeight="1" x14ac:dyDescent="0.2">
      <c r="A193" s="2">
        <v>45181</v>
      </c>
      <c r="C193" s="1" t="s">
        <v>17</v>
      </c>
      <c r="D193" s="17"/>
      <c r="F193" s="71">
        <v>30</v>
      </c>
      <c r="G193" s="32">
        <v>460560</v>
      </c>
      <c r="H193" s="3">
        <f t="shared" ref="H193" si="16">+H192+D193-F193</f>
        <v>-359872.99999999977</v>
      </c>
      <c r="I193" s="4">
        <f t="shared" ref="I193" si="17">+I192+E193-G193</f>
        <v>-5432427173.3022022</v>
      </c>
    </row>
    <row r="194" spans="1:9" s="4" customFormat="1" ht="15" customHeight="1" x14ac:dyDescent="0.2">
      <c r="A194" s="2">
        <v>45190</v>
      </c>
      <c r="B194" s="2"/>
      <c r="C194" s="1" t="s">
        <v>391</v>
      </c>
      <c r="D194" s="66">
        <v>187862.76</v>
      </c>
      <c r="E194" s="32">
        <v>2885196268.0799999</v>
      </c>
      <c r="G194" s="32"/>
      <c r="H194" s="3">
        <f t="shared" si="8"/>
        <v>-172010.23999999976</v>
      </c>
      <c r="I194" s="4">
        <f t="shared" si="9"/>
        <v>-2547230905.2222023</v>
      </c>
    </row>
    <row r="195" spans="1:9" ht="15" customHeight="1" x14ac:dyDescent="0.2">
      <c r="A195" s="2">
        <v>45191</v>
      </c>
      <c r="B195" s="2"/>
      <c r="C195" s="1" t="s">
        <v>395</v>
      </c>
      <c r="D195" s="66">
        <v>186867.86</v>
      </c>
      <c r="E195" s="32">
        <v>2869916593.8800001</v>
      </c>
      <c r="H195" s="3">
        <f t="shared" si="8"/>
        <v>14857.620000000228</v>
      </c>
      <c r="I195" s="4">
        <f t="shared" si="9"/>
        <v>322685688.65779781</v>
      </c>
    </row>
    <row r="196" spans="1:9" ht="15" customHeight="1" x14ac:dyDescent="0.2">
      <c r="A196" s="2">
        <v>45191</v>
      </c>
      <c r="B196" s="2"/>
      <c r="C196" s="1" t="s">
        <v>396</v>
      </c>
      <c r="F196" s="66">
        <v>155877.85999999999</v>
      </c>
      <c r="G196" s="32">
        <v>2400051410.4200001</v>
      </c>
      <c r="H196" s="3">
        <f t="shared" si="8"/>
        <v>-141020.23999999976</v>
      </c>
      <c r="I196" s="4">
        <f t="shared" si="9"/>
        <v>-2077365721.7622023</v>
      </c>
    </row>
    <row r="197" spans="1:9" ht="15" customHeight="1" x14ac:dyDescent="0.2">
      <c r="A197" s="2">
        <v>45191</v>
      </c>
      <c r="B197" s="2"/>
      <c r="C197" s="1" t="s">
        <v>17</v>
      </c>
      <c r="F197" s="66">
        <v>30</v>
      </c>
      <c r="G197" s="32">
        <v>461910</v>
      </c>
      <c r="H197" s="3">
        <f t="shared" si="8"/>
        <v>-141050.23999999976</v>
      </c>
      <c r="I197" s="4">
        <f t="shared" si="9"/>
        <v>-2077827631.7622023</v>
      </c>
    </row>
    <row r="198" spans="1:9" ht="15" customHeight="1" x14ac:dyDescent="0.2">
      <c r="A198" s="2">
        <v>45194</v>
      </c>
      <c r="B198" s="2"/>
      <c r="C198" s="1" t="s">
        <v>392</v>
      </c>
      <c r="F198" s="66">
        <v>157832.76</v>
      </c>
      <c r="G198" s="32">
        <v>2427941347.0799999</v>
      </c>
      <c r="H198" s="3">
        <f t="shared" ref="H198:H213" si="18">+H197+D198-F198</f>
        <v>-298882.99999999977</v>
      </c>
      <c r="I198" s="4">
        <f t="shared" ref="I198:I213" si="19">+I197+E198-G198</f>
        <v>-4505768978.8422022</v>
      </c>
    </row>
    <row r="199" spans="1:9" ht="15" customHeight="1" x14ac:dyDescent="0.2">
      <c r="A199" s="2">
        <v>45194</v>
      </c>
      <c r="B199" s="2"/>
      <c r="C199" s="1" t="s">
        <v>17</v>
      </c>
      <c r="F199" s="66">
        <v>30</v>
      </c>
      <c r="G199" s="32">
        <v>461490</v>
      </c>
      <c r="H199" s="3">
        <f t="shared" si="18"/>
        <v>-298912.99999999977</v>
      </c>
      <c r="I199" s="4">
        <f t="shared" si="19"/>
        <v>-4506230468.8422022</v>
      </c>
    </row>
    <row r="200" spans="1:9" ht="15" customHeight="1" x14ac:dyDescent="0.2">
      <c r="A200" s="2">
        <v>45196</v>
      </c>
      <c r="B200" s="2"/>
      <c r="C200" s="1" t="s">
        <v>399</v>
      </c>
      <c r="D200" s="66">
        <v>181901.84</v>
      </c>
      <c r="E200" s="32">
        <v>2798741710.2399998</v>
      </c>
      <c r="H200" s="3">
        <f t="shared" si="18"/>
        <v>-117011.15999999977</v>
      </c>
      <c r="I200" s="4">
        <f t="shared" si="19"/>
        <v>-1707488758.6022024</v>
      </c>
    </row>
    <row r="201" spans="1:9" ht="15" customHeight="1" x14ac:dyDescent="0.2">
      <c r="A201" s="2">
        <v>45196</v>
      </c>
      <c r="B201" s="2"/>
      <c r="C201" s="1" t="s">
        <v>400</v>
      </c>
      <c r="F201" s="66">
        <v>151871.84</v>
      </c>
      <c r="G201" s="32">
        <v>2348546133.7600002</v>
      </c>
      <c r="H201" s="3">
        <f t="shared" si="18"/>
        <v>-268882.99999999977</v>
      </c>
      <c r="I201" s="4">
        <f t="shared" si="19"/>
        <v>-4056034892.3622026</v>
      </c>
    </row>
    <row r="202" spans="1:9" ht="15" customHeight="1" x14ac:dyDescent="0.2">
      <c r="A202" s="2">
        <v>45196</v>
      </c>
      <c r="B202" s="2"/>
      <c r="C202" s="1" t="s">
        <v>17</v>
      </c>
      <c r="F202" s="66">
        <v>30</v>
      </c>
      <c r="G202" s="32">
        <v>463920</v>
      </c>
      <c r="H202" s="3">
        <f t="shared" si="18"/>
        <v>-268912.99999999977</v>
      </c>
      <c r="I202" s="4">
        <f t="shared" si="19"/>
        <v>-4056498812.3622026</v>
      </c>
    </row>
    <row r="203" spans="1:9" ht="15" customHeight="1" x14ac:dyDescent="0.2">
      <c r="A203" s="2">
        <v>45199</v>
      </c>
      <c r="C203" s="1" t="s">
        <v>18</v>
      </c>
      <c r="D203" s="17"/>
      <c r="F203" s="17"/>
      <c r="G203" s="32">
        <v>5052256</v>
      </c>
      <c r="H203" s="6">
        <f t="shared" si="18"/>
        <v>-268912.99999999977</v>
      </c>
      <c r="I203" s="7">
        <f t="shared" si="19"/>
        <v>-4061551068.3622026</v>
      </c>
    </row>
    <row r="204" spans="1:9" ht="15" customHeight="1" x14ac:dyDescent="0.2">
      <c r="A204" s="2">
        <v>45203</v>
      </c>
      <c r="C204" s="1" t="s">
        <v>450</v>
      </c>
      <c r="D204" s="17"/>
      <c r="F204" s="16">
        <f>63927.6-10000-20000-10000-10000</f>
        <v>13927.599999999999</v>
      </c>
      <c r="G204" s="32">
        <f>997270560-156000000-312000000-156000000-156000000</f>
        <v>217270560</v>
      </c>
      <c r="H204" s="3">
        <f t="shared" si="18"/>
        <v>-282840.59999999974</v>
      </c>
      <c r="I204" s="4">
        <f t="shared" si="19"/>
        <v>-4278821628.3622026</v>
      </c>
    </row>
    <row r="205" spans="1:9" ht="15" customHeight="1" x14ac:dyDescent="0.2">
      <c r="A205" s="2">
        <v>45203</v>
      </c>
      <c r="C205" s="1" t="s">
        <v>437</v>
      </c>
      <c r="D205" s="17"/>
      <c r="F205" s="71">
        <v>10000</v>
      </c>
      <c r="G205" s="32">
        <v>156000000</v>
      </c>
      <c r="H205" s="3">
        <f t="shared" ref="H205:H206" si="20">+H204+D205-F205</f>
        <v>-292840.59999999974</v>
      </c>
      <c r="I205" s="4">
        <f t="shared" ref="I205:I206" si="21">+I204+E205-G205</f>
        <v>-4434821628.3622026</v>
      </c>
    </row>
    <row r="206" spans="1:9" ht="15" customHeight="1" x14ac:dyDescent="0.2">
      <c r="A206" s="2">
        <v>45203</v>
      </c>
      <c r="C206" s="1" t="s">
        <v>423</v>
      </c>
      <c r="D206" s="17"/>
      <c r="F206" s="71">
        <v>10000</v>
      </c>
      <c r="G206" s="32">
        <v>156000000</v>
      </c>
      <c r="H206" s="3">
        <f t="shared" si="20"/>
        <v>-302840.59999999974</v>
      </c>
      <c r="I206" s="4">
        <f t="shared" si="21"/>
        <v>-4590821628.3622026</v>
      </c>
    </row>
    <row r="207" spans="1:9" ht="15" customHeight="1" x14ac:dyDescent="0.2">
      <c r="A207" s="2">
        <v>45203</v>
      </c>
      <c r="C207" s="1" t="s">
        <v>421</v>
      </c>
      <c r="D207" s="17"/>
      <c r="F207" s="71">
        <v>20000</v>
      </c>
      <c r="G207" s="32">
        <v>312000000</v>
      </c>
      <c r="H207" s="3">
        <f t="shared" ref="H207" si="22">+H206+D207-F207</f>
        <v>-322840.59999999974</v>
      </c>
      <c r="I207" s="4">
        <f t="shared" ref="I207" si="23">+I206+E207-G207</f>
        <v>-4902821628.3622026</v>
      </c>
    </row>
    <row r="208" spans="1:9" ht="15" customHeight="1" x14ac:dyDescent="0.2">
      <c r="A208" s="2">
        <v>45203</v>
      </c>
      <c r="C208" s="1" t="s">
        <v>419</v>
      </c>
      <c r="D208" s="17"/>
      <c r="F208" s="71">
        <v>10000</v>
      </c>
      <c r="G208" s="32">
        <v>156000000</v>
      </c>
      <c r="H208" s="3">
        <f t="shared" ref="H208" si="24">+H207+D208-F208</f>
        <v>-332840.59999999974</v>
      </c>
      <c r="I208" s="4">
        <f t="shared" ref="I208" si="25">+I207+E208-G208</f>
        <v>-5058821628.3622026</v>
      </c>
    </row>
    <row r="209" spans="1:11" ht="15" customHeight="1" x14ac:dyDescent="0.2">
      <c r="A209" s="2">
        <v>45203</v>
      </c>
      <c r="C209" s="1" t="s">
        <v>17</v>
      </c>
      <c r="D209" s="17"/>
      <c r="F209" s="16">
        <v>30</v>
      </c>
      <c r="G209" s="32">
        <v>468000</v>
      </c>
      <c r="H209" s="3">
        <f t="shared" ref="H209" si="26">+H208+D209-F209</f>
        <v>-332870.59999999974</v>
      </c>
      <c r="I209" s="4">
        <f t="shared" ref="I209" si="27">+I208+E209-G209</f>
        <v>-5059289628.3622026</v>
      </c>
    </row>
    <row r="210" spans="1:11" ht="15" customHeight="1" x14ac:dyDescent="0.2">
      <c r="A210" s="2">
        <v>45222</v>
      </c>
      <c r="C210" s="1" t="s">
        <v>407</v>
      </c>
      <c r="D210" s="162">
        <v>183805.93</v>
      </c>
      <c r="E210" s="32">
        <v>2885936906.9299998</v>
      </c>
      <c r="F210" s="17"/>
      <c r="G210" s="32"/>
      <c r="H210" s="3">
        <f t="shared" si="18"/>
        <v>-149064.66999999975</v>
      </c>
      <c r="I210" s="4">
        <f t="shared" si="19"/>
        <v>-2173352721.4322028</v>
      </c>
    </row>
    <row r="211" spans="1:11" ht="15" customHeight="1" x14ac:dyDescent="0.2">
      <c r="A211" s="2">
        <v>45223</v>
      </c>
      <c r="B211" s="2"/>
      <c r="C211" s="1" t="s">
        <v>411</v>
      </c>
      <c r="F211" s="162">
        <v>153805.93</v>
      </c>
      <c r="G211" s="32">
        <v>2452127941.9899998</v>
      </c>
      <c r="H211" s="3">
        <f t="shared" si="18"/>
        <v>-302870.59999999974</v>
      </c>
      <c r="I211" s="4">
        <f t="shared" si="19"/>
        <v>-4625480663.4222031</v>
      </c>
    </row>
    <row r="212" spans="1:11" ht="15" customHeight="1" x14ac:dyDescent="0.2">
      <c r="A212" s="2">
        <v>45223</v>
      </c>
      <c r="C212" s="1" t="s">
        <v>423</v>
      </c>
      <c r="D212" s="17"/>
      <c r="F212" s="71">
        <v>12310.8</v>
      </c>
      <c r="G212" s="32">
        <v>196271084.40000001</v>
      </c>
      <c r="H212" s="3">
        <f t="shared" si="18"/>
        <v>-315181.39999999973</v>
      </c>
      <c r="I212" s="4">
        <f t="shared" si="19"/>
        <v>-4821751747.8222027</v>
      </c>
    </row>
    <row r="213" spans="1:11" ht="15" customHeight="1" x14ac:dyDescent="0.2">
      <c r="A213" s="2">
        <v>45223</v>
      </c>
      <c r="B213" s="2"/>
      <c r="C213" s="1" t="s">
        <v>17</v>
      </c>
      <c r="F213" s="71">
        <v>30</v>
      </c>
      <c r="G213" s="32">
        <v>478290</v>
      </c>
      <c r="H213" s="3">
        <f t="shared" si="18"/>
        <v>-315211.39999999973</v>
      </c>
      <c r="I213" s="4">
        <f t="shared" si="19"/>
        <v>-4822230037.8222027</v>
      </c>
    </row>
    <row r="214" spans="1:11" ht="15" customHeight="1" x14ac:dyDescent="0.2">
      <c r="A214" s="2">
        <v>45230</v>
      </c>
      <c r="B214" s="2"/>
      <c r="C214" s="1" t="s">
        <v>415</v>
      </c>
      <c r="D214" s="222">
        <v>185718.76</v>
      </c>
      <c r="E214" s="32">
        <v>2929156282.7199998</v>
      </c>
      <c r="F214" s="17"/>
      <c r="G214" s="32"/>
      <c r="H214" s="3">
        <f t="shared" ref="H214:H215" si="28">+H213+D214-F214</f>
        <v>-129492.63999999972</v>
      </c>
      <c r="I214" s="4">
        <f t="shared" ref="I214:I215" si="29">+I213+E214-G214</f>
        <v>-1893073755.1022029</v>
      </c>
    </row>
    <row r="215" spans="1:11" ht="15" customHeight="1" x14ac:dyDescent="0.2">
      <c r="A215" s="2">
        <v>45230</v>
      </c>
      <c r="C215" s="1" t="s">
        <v>18</v>
      </c>
      <c r="D215" s="17"/>
      <c r="E215" s="32">
        <f>27681035.06-12600000</f>
        <v>15081035.059999999</v>
      </c>
      <c r="F215" s="17"/>
      <c r="G215" s="32"/>
      <c r="H215" s="6">
        <f t="shared" si="28"/>
        <v>-129492.63999999972</v>
      </c>
      <c r="I215" s="7">
        <f t="shared" si="29"/>
        <v>-1877992720.0422029</v>
      </c>
    </row>
    <row r="216" spans="1:11" ht="15" customHeight="1" x14ac:dyDescent="0.2">
      <c r="A216" s="2">
        <v>45231</v>
      </c>
      <c r="B216" s="2"/>
      <c r="C216" s="1" t="s">
        <v>424</v>
      </c>
      <c r="D216" s="71">
        <v>186274.09</v>
      </c>
      <c r="E216" s="32">
        <v>2963993320.0799999</v>
      </c>
      <c r="H216" s="3">
        <f t="shared" ref="H216" si="30">+H215+D216-F216</f>
        <v>56781.450000000274</v>
      </c>
      <c r="I216" s="4">
        <f t="shared" ref="I216" si="31">+I215+E216-G216</f>
        <v>1086000600.037797</v>
      </c>
    </row>
    <row r="217" spans="1:11" ht="15" customHeight="1" x14ac:dyDescent="0.2">
      <c r="A217" s="2">
        <v>45231</v>
      </c>
      <c r="B217" s="2"/>
      <c r="C217" s="1" t="s">
        <v>416</v>
      </c>
      <c r="F217" s="199">
        <v>155688.76</v>
      </c>
      <c r="G217" s="32">
        <v>2474984217.7199998</v>
      </c>
      <c r="H217" s="3">
        <f t="shared" ref="H217:H219" si="32">+H216+D217-F217</f>
        <v>-98907.309999999736</v>
      </c>
      <c r="I217" s="4">
        <f t="shared" ref="I217:I219" si="33">+I216+E217-G217</f>
        <v>-1388983617.6822028</v>
      </c>
      <c r="J217" s="1"/>
      <c r="K217" s="1"/>
    </row>
    <row r="218" spans="1:11" ht="15" customHeight="1" x14ac:dyDescent="0.2">
      <c r="A218" s="2">
        <v>45231</v>
      </c>
      <c r="B218" s="2"/>
      <c r="C218" s="1" t="s">
        <v>17</v>
      </c>
      <c r="F218" s="199">
        <v>30</v>
      </c>
      <c r="G218" s="32">
        <v>476910</v>
      </c>
      <c r="H218" s="3">
        <f t="shared" si="32"/>
        <v>-98937.309999999736</v>
      </c>
      <c r="I218" s="4">
        <f t="shared" si="33"/>
        <v>-1389460527.6822028</v>
      </c>
      <c r="J218" s="1"/>
      <c r="K218" s="1"/>
    </row>
    <row r="219" spans="1:11" ht="15" customHeight="1" x14ac:dyDescent="0.2">
      <c r="A219" s="2">
        <v>45236</v>
      </c>
      <c r="B219" s="2"/>
      <c r="C219" s="1" t="s">
        <v>419</v>
      </c>
      <c r="F219" s="71">
        <v>156244.09</v>
      </c>
      <c r="G219" s="32">
        <v>2464125543.3899999</v>
      </c>
      <c r="H219" s="3">
        <f t="shared" si="32"/>
        <v>-255181.39999999973</v>
      </c>
      <c r="I219" s="4">
        <f t="shared" si="33"/>
        <v>-3853586071.0722027</v>
      </c>
    </row>
    <row r="220" spans="1:11" ht="15" customHeight="1" x14ac:dyDescent="0.2">
      <c r="A220" s="2">
        <v>45236</v>
      </c>
      <c r="B220" s="2"/>
      <c r="C220" s="1" t="s">
        <v>17</v>
      </c>
      <c r="F220" s="71">
        <v>30</v>
      </c>
      <c r="G220" s="32">
        <v>473130</v>
      </c>
      <c r="H220" s="3">
        <f t="shared" ref="H220" si="34">+H219+D220-F220</f>
        <v>-255211.39999999973</v>
      </c>
      <c r="I220" s="4">
        <f t="shared" ref="I220" si="35">+I219+E220-G220</f>
        <v>-3854059201.0722027</v>
      </c>
    </row>
    <row r="221" spans="1:11" ht="15" customHeight="1" x14ac:dyDescent="0.2">
      <c r="A221" s="2">
        <v>45243</v>
      </c>
      <c r="C221" s="1" t="s">
        <v>442</v>
      </c>
      <c r="D221" s="3">
        <v>133788</v>
      </c>
      <c r="E221" s="32">
        <v>1997384560.4000001</v>
      </c>
      <c r="H221" s="3">
        <f t="shared" ref="H221" si="36">+H220+D221-F221</f>
        <v>-121423.39999999973</v>
      </c>
      <c r="I221" s="4">
        <f t="shared" ref="I221" si="37">+I220+E221-G221</f>
        <v>-1856674640.6722026</v>
      </c>
    </row>
    <row r="222" spans="1:11" ht="15" customHeight="1" x14ac:dyDescent="0.2">
      <c r="A222" s="2">
        <v>45243</v>
      </c>
      <c r="C222" s="1" t="s">
        <v>443</v>
      </c>
      <c r="F222" s="3">
        <f>133788-20000-10000-30000</f>
        <v>73788</v>
      </c>
      <c r="G222" s="32">
        <f>1997384560.4-298589493.884-149294746.94-447884240.83</f>
        <v>1101616078.7460001</v>
      </c>
      <c r="H222" s="3">
        <f t="shared" ref="H222" si="38">+H221+D222-F222</f>
        <v>-195211.39999999973</v>
      </c>
      <c r="I222" s="4">
        <f t="shared" ref="I222" si="39">+I221+E222-G222</f>
        <v>-2958290719.4182024</v>
      </c>
    </row>
    <row r="223" spans="1:11" ht="15" customHeight="1" x14ac:dyDescent="0.2">
      <c r="A223" s="2">
        <v>45243</v>
      </c>
      <c r="C223" s="1" t="s">
        <v>452</v>
      </c>
      <c r="F223" s="16">
        <v>30000</v>
      </c>
      <c r="G223" s="32">
        <v>447884240.82999998</v>
      </c>
      <c r="H223" s="3">
        <f t="shared" ref="H223:H225" si="40">+H222+D223-F223</f>
        <v>-225211.39999999973</v>
      </c>
      <c r="I223" s="4">
        <f t="shared" ref="I223:I225" si="41">+I222+E223-G223</f>
        <v>-3406174960.2482023</v>
      </c>
    </row>
    <row r="224" spans="1:11" ht="15" customHeight="1" x14ac:dyDescent="0.2">
      <c r="A224" s="2">
        <v>45243</v>
      </c>
      <c r="C224" s="1" t="s">
        <v>450</v>
      </c>
      <c r="F224" s="16">
        <v>10000</v>
      </c>
      <c r="G224" s="32">
        <v>149294746.94</v>
      </c>
      <c r="H224" s="3">
        <f t="shared" si="40"/>
        <v>-235211.39999999973</v>
      </c>
      <c r="I224" s="4">
        <f t="shared" si="41"/>
        <v>-3555469707.1882024</v>
      </c>
    </row>
    <row r="225" spans="1:9" ht="15" customHeight="1" x14ac:dyDescent="0.2">
      <c r="A225" s="2">
        <v>45243</v>
      </c>
      <c r="C225" s="1" t="s">
        <v>437</v>
      </c>
      <c r="F225" s="71">
        <v>20000</v>
      </c>
      <c r="G225" s="32">
        <v>298589493.884</v>
      </c>
      <c r="H225" s="3">
        <f t="shared" si="40"/>
        <v>-255211.39999999973</v>
      </c>
      <c r="I225" s="4">
        <f t="shared" si="41"/>
        <v>-3854059201.0722022</v>
      </c>
    </row>
    <row r="226" spans="1:9" ht="15" customHeight="1" x14ac:dyDescent="0.2">
      <c r="A226" s="2">
        <v>45254</v>
      </c>
      <c r="B226" s="2"/>
      <c r="C226" s="1" t="s">
        <v>429</v>
      </c>
      <c r="D226" s="71">
        <v>185076.34</v>
      </c>
      <c r="E226" s="32">
        <v>2887746133.02</v>
      </c>
      <c r="F226" s="17"/>
      <c r="G226" s="32"/>
      <c r="H226" s="3">
        <f t="shared" ref="H226" si="42">+H225+D226-F226</f>
        <v>-70135.059999999736</v>
      </c>
      <c r="I226" s="4">
        <f t="shared" ref="I226" si="43">+I225+E226-G226</f>
        <v>-966313068.05220222</v>
      </c>
    </row>
    <row r="227" spans="1:9" ht="15" customHeight="1" x14ac:dyDescent="0.2">
      <c r="A227" s="2">
        <v>45252</v>
      </c>
      <c r="B227" s="2"/>
      <c r="C227" s="1" t="s">
        <v>421</v>
      </c>
      <c r="F227" s="71">
        <v>145046.34</v>
      </c>
      <c r="G227" s="32">
        <v>2238935304.2399998</v>
      </c>
      <c r="H227" s="3">
        <f t="shared" ref="H227:H229" si="44">+H226+D227-F227</f>
        <v>-215181.39999999973</v>
      </c>
      <c r="I227" s="4">
        <f t="shared" ref="I227:I229" si="45">+I226+E227-G227</f>
        <v>-3205248372.292202</v>
      </c>
    </row>
    <row r="228" spans="1:9" ht="15" customHeight="1" x14ac:dyDescent="0.2">
      <c r="A228" s="2">
        <v>45252</v>
      </c>
      <c r="B228" s="2"/>
      <c r="C228" s="1" t="s">
        <v>17</v>
      </c>
      <c r="F228" s="71">
        <v>30</v>
      </c>
      <c r="G228" s="32">
        <v>463080</v>
      </c>
      <c r="H228" s="3">
        <f t="shared" si="44"/>
        <v>-215211.39999999973</v>
      </c>
      <c r="I228" s="4">
        <f t="shared" si="45"/>
        <v>-3205711452.292202</v>
      </c>
    </row>
    <row r="229" spans="1:9" ht="15" customHeight="1" x14ac:dyDescent="0.2">
      <c r="A229" s="2">
        <v>45254</v>
      </c>
      <c r="B229" s="2"/>
      <c r="C229" s="1" t="s">
        <v>430</v>
      </c>
      <c r="D229" s="71">
        <v>186298.26</v>
      </c>
      <c r="E229" s="32">
        <v>2906811750.7800002</v>
      </c>
      <c r="F229" s="17"/>
      <c r="G229" s="32"/>
      <c r="H229" s="3">
        <f t="shared" si="44"/>
        <v>-28913.139999999723</v>
      </c>
      <c r="I229" s="4">
        <f t="shared" si="45"/>
        <v>-298899701.51220179</v>
      </c>
    </row>
    <row r="230" spans="1:9" ht="15" customHeight="1" x14ac:dyDescent="0.2">
      <c r="A230" s="2">
        <v>45257</v>
      </c>
      <c r="B230" s="2"/>
      <c r="C230" s="1" t="s">
        <v>423</v>
      </c>
      <c r="F230" s="71">
        <v>150444.26</v>
      </c>
      <c r="G230" s="32">
        <v>2344974680.6199999</v>
      </c>
      <c r="H230" s="3">
        <f t="shared" ref="H230:H231" si="46">+H229+D230-F230</f>
        <v>-179357.39999999973</v>
      </c>
      <c r="I230" s="4">
        <f t="shared" ref="I230:I231" si="47">+I229+E230-G230</f>
        <v>-2643874382.1322017</v>
      </c>
    </row>
    <row r="231" spans="1:9" ht="15" customHeight="1" x14ac:dyDescent="0.2">
      <c r="A231" s="2">
        <v>45257</v>
      </c>
      <c r="B231" s="2"/>
      <c r="C231" s="1" t="s">
        <v>17</v>
      </c>
      <c r="F231" s="71">
        <v>30</v>
      </c>
      <c r="G231" s="32">
        <v>467610</v>
      </c>
      <c r="H231" s="3">
        <f t="shared" si="46"/>
        <v>-179387.39999999973</v>
      </c>
      <c r="I231" s="4">
        <f t="shared" si="47"/>
        <v>-2644341992.1322017</v>
      </c>
    </row>
    <row r="232" spans="1:9" ht="15" customHeight="1" x14ac:dyDescent="0.2">
      <c r="A232" s="2">
        <v>45259</v>
      </c>
      <c r="B232" s="2"/>
      <c r="C232" s="1" t="s">
        <v>437</v>
      </c>
      <c r="F232" s="71">
        <v>92054.78</v>
      </c>
      <c r="G232" s="32">
        <v>1422246351</v>
      </c>
      <c r="H232" s="3">
        <f t="shared" ref="H232:H234" si="48">+H231+D232-F232</f>
        <v>-271442.1799999997</v>
      </c>
      <c r="I232" s="4">
        <f t="shared" ref="I232:I234" si="49">+I231+E232-G232</f>
        <v>-4066588343.1322017</v>
      </c>
    </row>
    <row r="233" spans="1:9" ht="15" customHeight="1" x14ac:dyDescent="0.2">
      <c r="A233" s="2">
        <v>45259</v>
      </c>
      <c r="B233" s="2"/>
      <c r="C233" s="1" t="s">
        <v>17</v>
      </c>
      <c r="F233" s="71">
        <v>30</v>
      </c>
      <c r="G233" s="32">
        <v>463500</v>
      </c>
      <c r="H233" s="3">
        <f t="shared" si="48"/>
        <v>-271472.1799999997</v>
      </c>
      <c r="I233" s="4">
        <f t="shared" si="49"/>
        <v>-4067051843.1322017</v>
      </c>
    </row>
    <row r="234" spans="1:9" ht="15" customHeight="1" x14ac:dyDescent="0.2">
      <c r="A234" s="2">
        <v>45260</v>
      </c>
      <c r="B234" s="2"/>
      <c r="C234" s="1" t="s">
        <v>433</v>
      </c>
      <c r="D234" s="71">
        <v>122084.78</v>
      </c>
      <c r="E234" s="32">
        <v>1895244124.72</v>
      </c>
      <c r="F234" s="17"/>
      <c r="G234" s="32"/>
      <c r="H234" s="3">
        <f t="shared" si="48"/>
        <v>-149387.3999999997</v>
      </c>
      <c r="I234" s="4">
        <f t="shared" si="49"/>
        <v>-2171807718.4122019</v>
      </c>
    </row>
    <row r="235" spans="1:9" ht="15" customHeight="1" x14ac:dyDescent="0.2">
      <c r="A235" s="2">
        <v>45260</v>
      </c>
      <c r="C235" s="1" t="s">
        <v>18</v>
      </c>
      <c r="G235" s="152">
        <f>84923174.6660004-19464845</f>
        <v>65458329.666000396</v>
      </c>
      <c r="H235" s="6">
        <f t="shared" ref="H235" si="50">+H234+D235-F235</f>
        <v>-149387.3999999997</v>
      </c>
      <c r="I235" s="7">
        <f t="shared" ref="I235" si="51">+I234+E235-G235</f>
        <v>-2237266048.0782022</v>
      </c>
    </row>
    <row r="236" spans="1:9" ht="15" customHeight="1" x14ac:dyDescent="0.2">
      <c r="A236" s="2">
        <v>45278</v>
      </c>
      <c r="B236" s="2"/>
      <c r="C236" s="1" t="s">
        <v>446</v>
      </c>
      <c r="D236" s="16">
        <v>122509.27</v>
      </c>
      <c r="E236" s="32">
        <v>1898648666.46</v>
      </c>
      <c r="H236" s="3">
        <f t="shared" ref="H236:I242" si="52">+H235+D236-F236</f>
        <v>-26878.129999999699</v>
      </c>
      <c r="I236" s="4">
        <f t="shared" si="52"/>
        <v>-338617381.61820221</v>
      </c>
    </row>
    <row r="237" spans="1:9" ht="15" customHeight="1" x14ac:dyDescent="0.2">
      <c r="A237" s="2">
        <v>45278</v>
      </c>
      <c r="B237" s="2"/>
      <c r="C237" s="1" t="s">
        <v>450</v>
      </c>
      <c r="F237" s="16">
        <v>98521.67</v>
      </c>
      <c r="G237" s="32">
        <v>1527381450.01</v>
      </c>
      <c r="H237" s="3">
        <f t="shared" si="52"/>
        <v>-125399.7999999997</v>
      </c>
      <c r="I237" s="4">
        <f t="shared" si="52"/>
        <v>-1865998831.6282022</v>
      </c>
    </row>
    <row r="238" spans="1:9" ht="15" customHeight="1" x14ac:dyDescent="0.2">
      <c r="A238" s="2">
        <v>45278</v>
      </c>
      <c r="B238" s="2"/>
      <c r="C238" s="1" t="s">
        <v>17</v>
      </c>
      <c r="F238" s="16">
        <v>30</v>
      </c>
      <c r="G238" s="32">
        <v>465090</v>
      </c>
      <c r="H238" s="3">
        <f t="shared" si="52"/>
        <v>-125429.7999999997</v>
      </c>
      <c r="I238" s="4">
        <f t="shared" si="52"/>
        <v>-1866463921.6282022</v>
      </c>
    </row>
    <row r="239" spans="1:9" ht="15" customHeight="1" x14ac:dyDescent="0.2">
      <c r="A239" s="2">
        <v>45281</v>
      </c>
      <c r="B239" s="2"/>
      <c r="C239" s="1" t="s">
        <v>452</v>
      </c>
      <c r="F239" s="16">
        <v>99840.87</v>
      </c>
      <c r="G239" s="32">
        <v>1548731575.4400001</v>
      </c>
      <c r="H239" s="3">
        <f t="shared" si="52"/>
        <v>-225270.66999999969</v>
      </c>
      <c r="I239" s="4">
        <f t="shared" si="52"/>
        <v>-3415195497.068202</v>
      </c>
    </row>
    <row r="240" spans="1:9" ht="15" customHeight="1" x14ac:dyDescent="0.2">
      <c r="A240" s="2">
        <v>45281</v>
      </c>
      <c r="B240" s="2"/>
      <c r="C240" s="1" t="s">
        <v>17</v>
      </c>
      <c r="F240" s="16">
        <v>30</v>
      </c>
      <c r="G240" s="32">
        <v>465360</v>
      </c>
      <c r="H240" s="3">
        <f t="shared" si="52"/>
        <v>-225300.66999999969</v>
      </c>
      <c r="I240" s="4">
        <f t="shared" si="52"/>
        <v>-3415660857.068202</v>
      </c>
    </row>
    <row r="241" spans="1:11" ht="15" customHeight="1" x14ac:dyDescent="0.2">
      <c r="A241" s="2">
        <v>45287</v>
      </c>
      <c r="B241" s="2"/>
      <c r="C241" s="1" t="s">
        <v>448</v>
      </c>
      <c r="D241" s="16">
        <v>180335.92</v>
      </c>
      <c r="E241" s="32">
        <v>2797370791.04</v>
      </c>
      <c r="F241" s="17"/>
      <c r="G241" s="32"/>
      <c r="H241" s="3">
        <f t="shared" si="52"/>
        <v>-44964.74999999968</v>
      </c>
      <c r="I241" s="4">
        <f t="shared" si="52"/>
        <v>-618290066.02820206</v>
      </c>
    </row>
    <row r="242" spans="1:11" ht="15" customHeight="1" x14ac:dyDescent="0.2">
      <c r="A242" s="2">
        <v>45291</v>
      </c>
      <c r="C242" s="1" t="s">
        <v>18</v>
      </c>
      <c r="G242" s="152">
        <f>17475759.17+3768819.51</f>
        <v>21244578.68</v>
      </c>
      <c r="H242" s="3">
        <f t="shared" si="52"/>
        <v>-44964.74999999968</v>
      </c>
      <c r="I242" s="4">
        <f t="shared" si="52"/>
        <v>-639534644.708202</v>
      </c>
    </row>
    <row r="243" spans="1:11" ht="15" customHeight="1" x14ac:dyDescent="0.2">
      <c r="A243" s="2">
        <v>45291</v>
      </c>
      <c r="C243" s="1" t="s">
        <v>462</v>
      </c>
      <c r="F243" s="3">
        <v>15458.68</v>
      </c>
      <c r="G243" s="32">
        <v>234044415.19999999</v>
      </c>
      <c r="H243" s="3">
        <f t="shared" ref="H243" si="53">+H242+D243-F243</f>
        <v>-60423.42999999968</v>
      </c>
      <c r="I243" s="4">
        <f t="shared" ref="I243" si="54">+I242+E243-G243</f>
        <v>-873579059.90820193</v>
      </c>
      <c r="J243" s="4">
        <v>-60423.43</v>
      </c>
      <c r="K243" s="4">
        <v>-873579059.90999997</v>
      </c>
    </row>
    <row r="244" spans="1:11" ht="15" customHeight="1" x14ac:dyDescent="0.2">
      <c r="D244" s="17"/>
      <c r="F244" s="17"/>
      <c r="G244" s="32"/>
    </row>
    <row r="245" spans="1:11" ht="15" customHeight="1" x14ac:dyDescent="0.2">
      <c r="D245" s="17"/>
      <c r="F245" s="17"/>
      <c r="G245" s="32"/>
    </row>
    <row r="246" spans="1:11" ht="15" customHeight="1" x14ac:dyDescent="0.2">
      <c r="D246" s="17"/>
      <c r="F246" s="17"/>
      <c r="G246" s="32"/>
    </row>
    <row r="247" spans="1:11" ht="15" customHeight="1" x14ac:dyDescent="0.2">
      <c r="D247" s="17"/>
      <c r="F247" s="17"/>
      <c r="G247" s="32"/>
    </row>
    <row r="248" spans="1:11" ht="15" customHeight="1" x14ac:dyDescent="0.2">
      <c r="D248" s="17"/>
      <c r="F248" s="17"/>
      <c r="G248" s="32"/>
    </row>
    <row r="249" spans="1:11" ht="15" customHeight="1" x14ac:dyDescent="0.2">
      <c r="D249" s="17"/>
      <c r="F249" s="17"/>
      <c r="G249" s="32"/>
    </row>
    <row r="250" spans="1:11" ht="15" customHeight="1" x14ac:dyDescent="0.2">
      <c r="D250" s="17"/>
      <c r="F250" s="17"/>
      <c r="G250" s="32"/>
    </row>
    <row r="251" spans="1:11" ht="15" customHeight="1" x14ac:dyDescent="0.2">
      <c r="D251" s="17"/>
      <c r="F251" s="17"/>
      <c r="G251" s="32"/>
    </row>
    <row r="252" spans="1:11" ht="15" customHeight="1" x14ac:dyDescent="0.2">
      <c r="D252" s="17"/>
      <c r="F252" s="17"/>
      <c r="G252" s="32"/>
    </row>
    <row r="253" spans="1:11" ht="15" customHeight="1" x14ac:dyDescent="0.2">
      <c r="D253" s="17"/>
      <c r="F253" s="17"/>
      <c r="G253" s="32"/>
    </row>
    <row r="254" spans="1:11" ht="15" customHeight="1" x14ac:dyDescent="0.2">
      <c r="D254" s="17"/>
      <c r="F254" s="17"/>
      <c r="G254" s="32"/>
    </row>
    <row r="255" spans="1:11" ht="15" customHeight="1" x14ac:dyDescent="0.2">
      <c r="D255" s="17"/>
      <c r="F255" s="17"/>
      <c r="G255" s="32"/>
    </row>
    <row r="256" spans="1:11" ht="15" customHeight="1" x14ac:dyDescent="0.2">
      <c r="D256" s="17"/>
      <c r="F256" s="17"/>
      <c r="G256" s="32"/>
    </row>
    <row r="257" spans="1:9" ht="15" customHeight="1" x14ac:dyDescent="0.2">
      <c r="D257" s="17"/>
      <c r="F257" s="17"/>
      <c r="G257" s="32"/>
    </row>
    <row r="258" spans="1:9" ht="15" customHeight="1" x14ac:dyDescent="0.2">
      <c r="D258" s="17"/>
      <c r="F258" s="17"/>
      <c r="G258" s="32"/>
    </row>
    <row r="259" spans="1:9" ht="15" customHeight="1" x14ac:dyDescent="0.2">
      <c r="D259" s="17"/>
      <c r="F259" s="17"/>
      <c r="G259" s="32"/>
    </row>
    <row r="260" spans="1:9" ht="15" customHeight="1" x14ac:dyDescent="0.2">
      <c r="D260" s="17"/>
      <c r="F260" s="17"/>
      <c r="G260" s="32"/>
    </row>
    <row r="261" spans="1:9" ht="15" customHeight="1" x14ac:dyDescent="0.2">
      <c r="D261" s="17"/>
      <c r="F261" s="17"/>
      <c r="G261" s="32"/>
    </row>
    <row r="262" spans="1:9" ht="15" customHeight="1" x14ac:dyDescent="0.2">
      <c r="D262" s="17"/>
      <c r="F262" s="17"/>
      <c r="G262" s="32"/>
    </row>
    <row r="263" spans="1:9" ht="15" customHeight="1" x14ac:dyDescent="0.2">
      <c r="D263" s="17"/>
      <c r="F263" s="17"/>
      <c r="G263" s="32"/>
    </row>
    <row r="264" spans="1:9" ht="15" customHeight="1" x14ac:dyDescent="0.2">
      <c r="D264" s="17"/>
      <c r="F264" s="17"/>
      <c r="G264" s="32"/>
    </row>
    <row r="265" spans="1:9" ht="15" customHeight="1" x14ac:dyDescent="0.2">
      <c r="D265" s="17"/>
      <c r="F265" s="17"/>
      <c r="G265" s="32"/>
    </row>
    <row r="266" spans="1:9" ht="15" customHeight="1" x14ac:dyDescent="0.2">
      <c r="D266" s="17"/>
      <c r="F266" s="17"/>
      <c r="G266" s="32"/>
    </row>
    <row r="267" spans="1:9" ht="15" customHeight="1" x14ac:dyDescent="0.2">
      <c r="A267" s="5" t="s">
        <v>0</v>
      </c>
    </row>
    <row r="268" spans="1:9" ht="15" customHeight="1" x14ac:dyDescent="0.2">
      <c r="A268" s="5" t="s">
        <v>11</v>
      </c>
    </row>
    <row r="269" spans="1:9" ht="15" customHeight="1" x14ac:dyDescent="0.2">
      <c r="A269" s="5" t="s">
        <v>16</v>
      </c>
    </row>
    <row r="270" spans="1:9" ht="15" customHeight="1" x14ac:dyDescent="0.2">
      <c r="A270" s="5" t="s">
        <v>160</v>
      </c>
    </row>
    <row r="272" spans="1:9" ht="15" customHeight="1" x14ac:dyDescent="0.2">
      <c r="A272" s="9" t="s">
        <v>3</v>
      </c>
      <c r="B272" s="8" t="s">
        <v>4</v>
      </c>
      <c r="C272" s="8" t="s">
        <v>5</v>
      </c>
      <c r="D272" s="233" t="s">
        <v>6</v>
      </c>
      <c r="E272" s="233"/>
      <c r="F272" s="233" t="s">
        <v>7</v>
      </c>
      <c r="G272" s="233"/>
      <c r="H272" s="233" t="s">
        <v>8</v>
      </c>
      <c r="I272" s="233"/>
    </row>
    <row r="273" spans="1:9" ht="15" customHeight="1" x14ac:dyDescent="0.2">
      <c r="A273" s="10"/>
      <c r="B273" s="11"/>
      <c r="C273" s="11" t="s">
        <v>9</v>
      </c>
      <c r="D273" s="12"/>
      <c r="E273" s="184"/>
      <c r="F273" s="104"/>
      <c r="G273" s="180"/>
      <c r="H273" s="12">
        <v>0</v>
      </c>
      <c r="I273" s="13">
        <v>0</v>
      </c>
    </row>
    <row r="274" spans="1:9" ht="15" customHeight="1" x14ac:dyDescent="0.2">
      <c r="A274" s="77">
        <v>44936</v>
      </c>
      <c r="B274" s="2"/>
      <c r="C274" s="76" t="s">
        <v>165</v>
      </c>
      <c r="D274" s="51"/>
      <c r="E274" s="186"/>
      <c r="F274" s="119">
        <v>347645.95</v>
      </c>
      <c r="G274" s="138">
        <v>5414238025.3000002</v>
      </c>
      <c r="H274" s="51">
        <f t="shared" ref="H274:H321" si="55">+H273+D274-F274</f>
        <v>-347645.95</v>
      </c>
      <c r="I274" s="50">
        <f t="shared" ref="I274:I321" si="56">+I273+E274-G274</f>
        <v>-5414238025.3000002</v>
      </c>
    </row>
    <row r="275" spans="1:9" ht="15" customHeight="1" x14ac:dyDescent="0.2">
      <c r="A275" s="77">
        <v>44936</v>
      </c>
      <c r="B275" s="2"/>
      <c r="C275" s="76" t="s">
        <v>17</v>
      </c>
      <c r="D275" s="51"/>
      <c r="E275" s="186"/>
      <c r="F275" s="119">
        <v>37</v>
      </c>
      <c r="G275" s="138">
        <v>576238</v>
      </c>
      <c r="H275" s="51">
        <f t="shared" si="55"/>
        <v>-347682.95</v>
      </c>
      <c r="I275" s="50">
        <f t="shared" si="56"/>
        <v>-5414814263.3000002</v>
      </c>
    </row>
    <row r="276" spans="1:9" ht="15" customHeight="1" x14ac:dyDescent="0.2">
      <c r="A276" s="77">
        <v>44943</v>
      </c>
      <c r="B276" s="2"/>
      <c r="C276" s="76" t="s">
        <v>148</v>
      </c>
      <c r="D276" s="61">
        <v>179050.2</v>
      </c>
      <c r="E276" s="186">
        <v>2794078371</v>
      </c>
      <c r="F276" s="120"/>
      <c r="G276" s="138"/>
      <c r="H276" s="51">
        <f t="shared" si="55"/>
        <v>-168632.75</v>
      </c>
      <c r="I276" s="50">
        <f t="shared" si="56"/>
        <v>-2620735892.3000002</v>
      </c>
    </row>
    <row r="277" spans="1:9" ht="15" customHeight="1" x14ac:dyDescent="0.2">
      <c r="A277" s="77">
        <v>44951</v>
      </c>
      <c r="B277" s="2"/>
      <c r="C277" s="76" t="s">
        <v>149</v>
      </c>
      <c r="D277" s="61">
        <v>168632.75</v>
      </c>
      <c r="E277" s="186">
        <v>2547872219.75</v>
      </c>
      <c r="F277" s="120"/>
      <c r="G277" s="138"/>
      <c r="H277" s="51">
        <f t="shared" si="55"/>
        <v>0</v>
      </c>
      <c r="I277" s="50">
        <f t="shared" si="56"/>
        <v>-72863672.550000191</v>
      </c>
    </row>
    <row r="278" spans="1:9" ht="15" customHeight="1" x14ac:dyDescent="0.2">
      <c r="A278" s="77">
        <v>44957</v>
      </c>
      <c r="C278" s="76" t="s">
        <v>18</v>
      </c>
      <c r="D278" s="51"/>
      <c r="E278" s="55">
        <v>72863672.549999997</v>
      </c>
      <c r="F278" s="120"/>
      <c r="G278" s="138"/>
      <c r="H278" s="51">
        <f t="shared" si="55"/>
        <v>0</v>
      </c>
      <c r="I278" s="50">
        <f t="shared" si="56"/>
        <v>-1.9371509552001953E-7</v>
      </c>
    </row>
    <row r="279" spans="1:9" ht="15" customHeight="1" x14ac:dyDescent="0.2">
      <c r="A279" s="2">
        <v>44964</v>
      </c>
      <c r="C279" s="1" t="s">
        <v>212</v>
      </c>
      <c r="F279" s="121">
        <v>166971.5</v>
      </c>
      <c r="G279" s="152">
        <v>2513755932.5</v>
      </c>
      <c r="H279" s="51">
        <f t="shared" si="55"/>
        <v>-166971.5</v>
      </c>
      <c r="I279" s="50">
        <f t="shared" si="56"/>
        <v>-2513755932.5</v>
      </c>
    </row>
    <row r="280" spans="1:9" ht="15" customHeight="1" x14ac:dyDescent="0.2">
      <c r="A280" s="2">
        <v>44964</v>
      </c>
      <c r="C280" s="1" t="s">
        <v>17</v>
      </c>
      <c r="F280" s="122">
        <v>37</v>
      </c>
      <c r="G280" s="152">
        <v>557035</v>
      </c>
      <c r="H280" s="51">
        <f t="shared" si="55"/>
        <v>-167008.5</v>
      </c>
      <c r="I280" s="50">
        <f t="shared" si="56"/>
        <v>-2514312967.5</v>
      </c>
    </row>
    <row r="281" spans="1:9" ht="15" customHeight="1" x14ac:dyDescent="0.2">
      <c r="A281" s="2">
        <v>44981</v>
      </c>
      <c r="B281" s="2"/>
      <c r="C281" s="1" t="s">
        <v>213</v>
      </c>
      <c r="F281" s="122">
        <v>159075.85</v>
      </c>
      <c r="G281" s="152">
        <v>2415884933.9499998</v>
      </c>
      <c r="H281" s="51">
        <f t="shared" si="55"/>
        <v>-326084.34999999998</v>
      </c>
      <c r="I281" s="50">
        <f t="shared" si="56"/>
        <v>-4930197901.4499998</v>
      </c>
    </row>
    <row r="282" spans="1:9" ht="15" customHeight="1" x14ac:dyDescent="0.2">
      <c r="A282" s="2">
        <v>44981</v>
      </c>
      <c r="B282" s="2"/>
      <c r="C282" s="1" t="s">
        <v>17</v>
      </c>
      <c r="F282" s="122">
        <v>25</v>
      </c>
      <c r="G282" s="152">
        <v>379675</v>
      </c>
      <c r="H282" s="52">
        <f t="shared" si="55"/>
        <v>-326109.34999999998</v>
      </c>
      <c r="I282" s="53">
        <f t="shared" si="56"/>
        <v>-4930577576.4499998</v>
      </c>
    </row>
    <row r="283" spans="1:9" ht="15" customHeight="1" x14ac:dyDescent="0.2">
      <c r="A283" s="2">
        <v>44993</v>
      </c>
      <c r="B283" s="2"/>
      <c r="C283" s="1" t="s">
        <v>198</v>
      </c>
      <c r="D283" s="18">
        <v>82943.55</v>
      </c>
      <c r="E283" s="32">
        <v>1266465064.95</v>
      </c>
      <c r="F283" s="118"/>
      <c r="H283" s="51">
        <f t="shared" si="55"/>
        <v>-243165.8</v>
      </c>
      <c r="I283" s="50">
        <f t="shared" si="56"/>
        <v>-3664112511.5</v>
      </c>
    </row>
    <row r="284" spans="1:9" ht="15" customHeight="1" x14ac:dyDescent="0.2">
      <c r="A284" s="2">
        <v>45005</v>
      </c>
      <c r="B284" s="2"/>
      <c r="C284" s="1" t="s">
        <v>199</v>
      </c>
      <c r="D284" s="18">
        <v>84064.95</v>
      </c>
      <c r="E284" s="32">
        <v>1294936489.8</v>
      </c>
      <c r="F284" s="118"/>
      <c r="H284" s="51">
        <f t="shared" si="55"/>
        <v>-159100.84999999998</v>
      </c>
      <c r="I284" s="50">
        <f t="shared" si="56"/>
        <v>-2369176021.6999998</v>
      </c>
    </row>
    <row r="285" spans="1:9" ht="15" customHeight="1" x14ac:dyDescent="0.2">
      <c r="A285" s="2">
        <v>45006</v>
      </c>
      <c r="B285" s="2"/>
      <c r="C285" s="1" t="s">
        <v>200</v>
      </c>
      <c r="D285" s="18">
        <v>81488.399999999994</v>
      </c>
      <c r="E285" s="32">
        <v>1255247313.5999999</v>
      </c>
      <c r="F285" s="118"/>
      <c r="H285" s="51">
        <f t="shared" si="55"/>
        <v>-77612.449999999983</v>
      </c>
      <c r="I285" s="50">
        <f t="shared" si="56"/>
        <v>-1113928708.0999999</v>
      </c>
    </row>
    <row r="286" spans="1:9" ht="15" customHeight="1" x14ac:dyDescent="0.2">
      <c r="A286" s="2">
        <v>45006</v>
      </c>
      <c r="B286" s="2"/>
      <c r="C286" s="1" t="s">
        <v>201</v>
      </c>
      <c r="D286" s="18">
        <v>77612.45</v>
      </c>
      <c r="E286" s="32">
        <v>1195542179.8</v>
      </c>
      <c r="F286" s="118"/>
      <c r="H286" s="51">
        <f t="shared" si="55"/>
        <v>1.4551915228366852E-11</v>
      </c>
      <c r="I286" s="50">
        <f t="shared" si="56"/>
        <v>81613471.700000048</v>
      </c>
    </row>
    <row r="287" spans="1:9" ht="15" customHeight="1" x14ac:dyDescent="0.2">
      <c r="A287" s="2">
        <v>44999</v>
      </c>
      <c r="B287" s="2"/>
      <c r="C287" s="1" t="s">
        <v>422</v>
      </c>
      <c r="F287" s="223">
        <f>77743-3000-13000-3000-13000</f>
        <v>45743</v>
      </c>
      <c r="G287" s="152">
        <f>1195220882-46122000-199862000-46122000-199862000</f>
        <v>703252882</v>
      </c>
      <c r="H287" s="51">
        <f t="shared" si="55"/>
        <v>-45742.999999999985</v>
      </c>
      <c r="I287" s="50">
        <f t="shared" si="56"/>
        <v>-621639410.29999995</v>
      </c>
    </row>
    <row r="288" spans="1:9" ht="15" customHeight="1" x14ac:dyDescent="0.2">
      <c r="A288" s="2">
        <v>44999</v>
      </c>
      <c r="B288" s="2"/>
      <c r="C288" s="1" t="s">
        <v>435</v>
      </c>
      <c r="F288" s="223">
        <v>13000</v>
      </c>
      <c r="G288" s="152">
        <v>199862000</v>
      </c>
      <c r="H288" s="51">
        <f t="shared" ref="H288:H289" si="57">+H287+D288-F288</f>
        <v>-58742.999999999985</v>
      </c>
      <c r="I288" s="50">
        <f t="shared" ref="I288:I289" si="58">+I287+E288-G288</f>
        <v>-821501410.29999995</v>
      </c>
    </row>
    <row r="289" spans="1:9" ht="15" customHeight="1" x14ac:dyDescent="0.2">
      <c r="A289" s="2">
        <v>44999</v>
      </c>
      <c r="B289" s="2"/>
      <c r="C289" s="1" t="s">
        <v>418</v>
      </c>
      <c r="F289" s="223">
        <v>3000</v>
      </c>
      <c r="G289" s="152">
        <v>46122000</v>
      </c>
      <c r="H289" s="51">
        <f t="shared" si="57"/>
        <v>-61742.999999999985</v>
      </c>
      <c r="I289" s="50">
        <f t="shared" si="58"/>
        <v>-867623410.29999995</v>
      </c>
    </row>
    <row r="290" spans="1:9" ht="15" customHeight="1" x14ac:dyDescent="0.2">
      <c r="A290" s="2">
        <v>44999</v>
      </c>
      <c r="B290" s="2"/>
      <c r="C290" s="1" t="s">
        <v>410</v>
      </c>
      <c r="F290" s="194">
        <v>13000</v>
      </c>
      <c r="G290" s="152">
        <v>199862000</v>
      </c>
      <c r="H290" s="51">
        <f t="shared" ref="H290" si="59">+H289+D290-F290</f>
        <v>-74742.999999999985</v>
      </c>
      <c r="I290" s="50">
        <f t="shared" ref="I290" si="60">+I289+E290-G290</f>
        <v>-1067485410.3</v>
      </c>
    </row>
    <row r="291" spans="1:9" ht="15" customHeight="1" x14ac:dyDescent="0.2">
      <c r="A291" s="2">
        <v>44999</v>
      </c>
      <c r="B291" s="2"/>
      <c r="C291" s="1" t="s">
        <v>368</v>
      </c>
      <c r="F291" s="201">
        <v>3000</v>
      </c>
      <c r="G291" s="152">
        <v>46122000</v>
      </c>
      <c r="H291" s="51">
        <f t="shared" si="55"/>
        <v>-77742.999999999985</v>
      </c>
      <c r="I291" s="50">
        <f t="shared" si="56"/>
        <v>-1113607410.3</v>
      </c>
    </row>
    <row r="292" spans="1:9" ht="15" customHeight="1" x14ac:dyDescent="0.2">
      <c r="A292" s="2">
        <v>44999</v>
      </c>
      <c r="B292" s="2"/>
      <c r="C292" s="1" t="s">
        <v>17</v>
      </c>
      <c r="F292" s="223">
        <v>37</v>
      </c>
      <c r="G292" s="152">
        <v>568838</v>
      </c>
      <c r="H292" s="51">
        <f t="shared" si="55"/>
        <v>-77779.999999999985</v>
      </c>
      <c r="I292" s="50">
        <f t="shared" si="56"/>
        <v>-1114176248.3</v>
      </c>
    </row>
    <row r="293" spans="1:9" ht="15" customHeight="1" x14ac:dyDescent="0.2">
      <c r="A293" s="2">
        <v>44999</v>
      </c>
      <c r="B293" s="2"/>
      <c r="C293" s="1" t="s">
        <v>422</v>
      </c>
      <c r="F293" s="223">
        <f>81632-10000-24000-12000-12000</f>
        <v>23632</v>
      </c>
      <c r="G293" s="152">
        <f>1255010368-153740000-368976000-184488000-184488000</f>
        <v>363318368</v>
      </c>
      <c r="H293" s="51">
        <f t="shared" si="55"/>
        <v>-101411.99999999999</v>
      </c>
      <c r="I293" s="50">
        <f t="shared" si="56"/>
        <v>-1477494616.3</v>
      </c>
    </row>
    <row r="294" spans="1:9" ht="15" customHeight="1" x14ac:dyDescent="0.2">
      <c r="A294" s="2">
        <v>44999</v>
      </c>
      <c r="B294" s="2"/>
      <c r="C294" s="1" t="s">
        <v>435</v>
      </c>
      <c r="F294" s="223">
        <v>12000</v>
      </c>
      <c r="G294" s="152">
        <v>184488000</v>
      </c>
      <c r="H294" s="51">
        <f t="shared" ref="H294:H295" si="61">+H293+D294-F294</f>
        <v>-113411.99999999999</v>
      </c>
      <c r="I294" s="50">
        <f t="shared" ref="I294:I295" si="62">+I293+E294-G294</f>
        <v>-1661982616.3</v>
      </c>
    </row>
    <row r="295" spans="1:9" ht="15" customHeight="1" x14ac:dyDescent="0.2">
      <c r="A295" s="2">
        <v>44999</v>
      </c>
      <c r="B295" s="2"/>
      <c r="C295" s="1" t="s">
        <v>434</v>
      </c>
      <c r="F295" s="223">
        <v>12000</v>
      </c>
      <c r="G295" s="152">
        <v>184488000</v>
      </c>
      <c r="H295" s="51">
        <f t="shared" si="61"/>
        <v>-125411.99999999999</v>
      </c>
      <c r="I295" s="50">
        <f t="shared" si="62"/>
        <v>-1846470616.3</v>
      </c>
    </row>
    <row r="296" spans="1:9" ht="15" customHeight="1" x14ac:dyDescent="0.2">
      <c r="A296" s="2">
        <v>44999</v>
      </c>
      <c r="B296" s="2"/>
      <c r="C296" s="1" t="s">
        <v>418</v>
      </c>
      <c r="F296" s="223">
        <v>24000</v>
      </c>
      <c r="G296" s="152">
        <v>368976000</v>
      </c>
      <c r="H296" s="51">
        <f t="shared" ref="H296" si="63">+H295+D296-F296</f>
        <v>-149412</v>
      </c>
      <c r="I296" s="50">
        <f t="shared" ref="I296" si="64">+I295+E296-G296</f>
        <v>-2215446616.3000002</v>
      </c>
    </row>
    <row r="297" spans="1:9" ht="15" customHeight="1" x14ac:dyDescent="0.2">
      <c r="A297" s="2">
        <v>44999</v>
      </c>
      <c r="B297" s="2"/>
      <c r="C297" s="1" t="s">
        <v>368</v>
      </c>
      <c r="F297" s="201">
        <v>10000</v>
      </c>
      <c r="G297" s="152">
        <v>153740000</v>
      </c>
      <c r="H297" s="51">
        <f t="shared" ref="H297" si="65">+H296+D297-F297</f>
        <v>-159412</v>
      </c>
      <c r="I297" s="50">
        <f t="shared" ref="I297" si="66">+I296+E297-G297</f>
        <v>-2369186616.3000002</v>
      </c>
    </row>
    <row r="298" spans="1:9" ht="15" customHeight="1" x14ac:dyDescent="0.2">
      <c r="A298" s="2">
        <v>44999</v>
      </c>
      <c r="B298" s="2"/>
      <c r="C298" s="1" t="s">
        <v>17</v>
      </c>
      <c r="F298" s="223">
        <v>37</v>
      </c>
      <c r="G298" s="152">
        <v>568838</v>
      </c>
      <c r="H298" s="51">
        <f t="shared" si="55"/>
        <v>-159449</v>
      </c>
      <c r="I298" s="50">
        <f t="shared" si="56"/>
        <v>-2369755454.3000002</v>
      </c>
    </row>
    <row r="299" spans="1:9" ht="15" customHeight="1" x14ac:dyDescent="0.2">
      <c r="A299" s="2">
        <v>45016</v>
      </c>
      <c r="B299" s="2"/>
      <c r="C299" s="1" t="s">
        <v>18</v>
      </c>
      <c r="F299" s="118"/>
      <c r="G299" s="152">
        <v>81613471.700000003</v>
      </c>
      <c r="H299" s="52">
        <f t="shared" si="55"/>
        <v>-159449</v>
      </c>
      <c r="I299" s="53">
        <f t="shared" si="56"/>
        <v>-2451368926</v>
      </c>
    </row>
    <row r="300" spans="1:9" ht="15" customHeight="1" x14ac:dyDescent="0.2">
      <c r="A300" s="2">
        <v>45043</v>
      </c>
      <c r="B300" s="2"/>
      <c r="C300" s="1" t="s">
        <v>233</v>
      </c>
      <c r="D300" s="17">
        <v>88394.8</v>
      </c>
      <c r="E300" s="32">
        <v>1310364515.2</v>
      </c>
      <c r="F300" s="118"/>
      <c r="H300" s="51">
        <f t="shared" si="55"/>
        <v>-71054.2</v>
      </c>
      <c r="I300" s="50">
        <f t="shared" si="56"/>
        <v>-1141004410.8</v>
      </c>
    </row>
    <row r="301" spans="1:9" ht="15" customHeight="1" x14ac:dyDescent="0.2">
      <c r="A301" s="2">
        <v>45026</v>
      </c>
      <c r="B301" s="2"/>
      <c r="C301" s="1" t="s">
        <v>239</v>
      </c>
      <c r="F301" s="118">
        <f>182678.65-94308.85</f>
        <v>88369.799999999988</v>
      </c>
      <c r="G301" s="152">
        <f>2729767066.95-1409257145.55</f>
        <v>1320509921.3999999</v>
      </c>
      <c r="H301" s="51">
        <f t="shared" si="55"/>
        <v>-159424</v>
      </c>
      <c r="I301" s="50">
        <f t="shared" si="56"/>
        <v>-2461514332.1999998</v>
      </c>
    </row>
    <row r="302" spans="1:9" ht="15" customHeight="1" x14ac:dyDescent="0.2">
      <c r="A302" s="2">
        <v>45026</v>
      </c>
      <c r="B302" s="2"/>
      <c r="C302" s="1" t="s">
        <v>289</v>
      </c>
      <c r="F302" s="170">
        <v>94308.85</v>
      </c>
      <c r="G302" s="152">
        <v>1409257145.55</v>
      </c>
      <c r="H302" s="51">
        <f t="shared" si="55"/>
        <v>-253732.85</v>
      </c>
      <c r="I302" s="50">
        <f t="shared" si="56"/>
        <v>-3870771477.75</v>
      </c>
    </row>
    <row r="303" spans="1:9" ht="15" customHeight="1" x14ac:dyDescent="0.2">
      <c r="A303" s="2">
        <v>45026</v>
      </c>
      <c r="B303" s="2"/>
      <c r="C303" s="1" t="s">
        <v>17</v>
      </c>
      <c r="F303" s="118">
        <v>25</v>
      </c>
      <c r="G303" s="152">
        <v>373575</v>
      </c>
      <c r="H303" s="52">
        <f t="shared" si="55"/>
        <v>-253757.85</v>
      </c>
      <c r="I303" s="53">
        <f t="shared" si="56"/>
        <v>-3871145052.75</v>
      </c>
    </row>
    <row r="304" spans="1:9" ht="15" customHeight="1" x14ac:dyDescent="0.2">
      <c r="A304" s="2">
        <v>45057</v>
      </c>
      <c r="B304" s="2"/>
      <c r="C304" s="1" t="s">
        <v>456</v>
      </c>
      <c r="F304" s="225">
        <v>68669</v>
      </c>
      <c r="G304" s="32">
        <v>1012593074</v>
      </c>
      <c r="H304" s="51">
        <f t="shared" si="55"/>
        <v>-322426.84999999998</v>
      </c>
      <c r="I304" s="50">
        <f t="shared" si="56"/>
        <v>-4883738126.75</v>
      </c>
    </row>
    <row r="305" spans="1:11" ht="15" customHeight="1" x14ac:dyDescent="0.2">
      <c r="A305" s="2">
        <v>45057</v>
      </c>
      <c r="B305" s="2"/>
      <c r="C305" s="1" t="s">
        <v>17</v>
      </c>
      <c r="F305" s="225">
        <v>37</v>
      </c>
      <c r="G305" s="32">
        <v>545602</v>
      </c>
      <c r="H305" s="52">
        <f t="shared" si="55"/>
        <v>-322463.84999999998</v>
      </c>
      <c r="I305" s="53">
        <f t="shared" si="56"/>
        <v>-4884283728.75</v>
      </c>
    </row>
    <row r="306" spans="1:11" ht="15" customHeight="1" x14ac:dyDescent="0.2">
      <c r="A306" s="2">
        <v>45092</v>
      </c>
      <c r="B306" s="2"/>
      <c r="C306" s="1" t="s">
        <v>302</v>
      </c>
      <c r="D306" s="171">
        <v>94308.85</v>
      </c>
      <c r="E306" s="32">
        <v>1402561217.2</v>
      </c>
      <c r="F306" s="118"/>
      <c r="H306" s="3">
        <f t="shared" si="55"/>
        <v>-228154.99999999997</v>
      </c>
      <c r="I306" s="4">
        <f t="shared" si="56"/>
        <v>-3481722511.5500002</v>
      </c>
    </row>
    <row r="307" spans="1:11" ht="15" customHeight="1" x14ac:dyDescent="0.2">
      <c r="A307" s="2">
        <v>45107</v>
      </c>
      <c r="B307" s="2"/>
      <c r="C307" s="1" t="s">
        <v>18</v>
      </c>
      <c r="E307" s="32">
        <v>6695928.3499999996</v>
      </c>
      <c r="F307" s="118"/>
      <c r="H307" s="6">
        <f t="shared" si="55"/>
        <v>-228154.99999999997</v>
      </c>
      <c r="I307" s="7">
        <f t="shared" si="56"/>
        <v>-3475026583.2000003</v>
      </c>
    </row>
    <row r="308" spans="1:11" ht="15" customHeight="1" x14ac:dyDescent="0.2">
      <c r="A308" s="2">
        <v>45127</v>
      </c>
      <c r="B308" s="2"/>
      <c r="C308" s="1" t="s">
        <v>349</v>
      </c>
      <c r="F308" s="169">
        <f>277137.71-93659.15-91216.11</f>
        <v>92262.450000000026</v>
      </c>
      <c r="G308" s="32">
        <f>4155402823.74-1404325295.1-1367694353.34</f>
        <v>1383383175.3</v>
      </c>
      <c r="H308" s="3">
        <f t="shared" si="55"/>
        <v>-320417.45</v>
      </c>
      <c r="I308" s="4">
        <f t="shared" si="56"/>
        <v>-4858409758.5</v>
      </c>
    </row>
    <row r="309" spans="1:11" ht="15" customHeight="1" x14ac:dyDescent="0.2">
      <c r="A309" s="2">
        <v>45127</v>
      </c>
      <c r="B309" s="2"/>
      <c r="C309" s="1" t="s">
        <v>414</v>
      </c>
      <c r="F309" s="39">
        <v>91216.11</v>
      </c>
      <c r="G309" s="32">
        <v>1367694353.3399999</v>
      </c>
      <c r="H309" s="3">
        <f t="shared" si="55"/>
        <v>-411633.56</v>
      </c>
      <c r="I309" s="4">
        <f t="shared" si="56"/>
        <v>-6226104111.8400002</v>
      </c>
    </row>
    <row r="310" spans="1:11" ht="15" customHeight="1" x14ac:dyDescent="0.2">
      <c r="A310" s="2">
        <v>45127</v>
      </c>
      <c r="B310" s="2"/>
      <c r="C310" s="1" t="s">
        <v>398</v>
      </c>
      <c r="F310" s="16">
        <v>93659.15</v>
      </c>
      <c r="G310" s="32">
        <v>1404325295.0999999</v>
      </c>
      <c r="H310" s="3">
        <f t="shared" si="55"/>
        <v>-505292.70999999996</v>
      </c>
      <c r="I310" s="4">
        <f t="shared" si="56"/>
        <v>-7630429406.9400005</v>
      </c>
    </row>
    <row r="311" spans="1:11" ht="15" customHeight="1" x14ac:dyDescent="0.2">
      <c r="A311" s="2">
        <v>45127</v>
      </c>
      <c r="B311" s="2"/>
      <c r="C311" s="1" t="s">
        <v>17</v>
      </c>
      <c r="F311" s="169">
        <v>35</v>
      </c>
      <c r="G311" s="32">
        <v>524790</v>
      </c>
      <c r="H311" s="6">
        <f t="shared" si="55"/>
        <v>-505327.70999999996</v>
      </c>
      <c r="I311" s="7">
        <f t="shared" si="56"/>
        <v>-7630954196.9400005</v>
      </c>
    </row>
    <row r="312" spans="1:11" ht="15" customHeight="1" x14ac:dyDescent="0.2">
      <c r="A312" s="2">
        <v>45140</v>
      </c>
      <c r="B312" s="2"/>
      <c r="C312" s="1" t="s">
        <v>351</v>
      </c>
      <c r="F312" s="66">
        <v>76610.58</v>
      </c>
      <c r="G312" s="32">
        <v>1158122137.8599999</v>
      </c>
      <c r="H312" s="3">
        <f>+H311+D312-F312</f>
        <v>-581938.28999999992</v>
      </c>
      <c r="I312" s="4">
        <f>+I311+E312-G312</f>
        <v>-8789076334.8000011</v>
      </c>
    </row>
    <row r="313" spans="1:11" ht="15" customHeight="1" x14ac:dyDescent="0.2">
      <c r="A313" s="2">
        <v>45140</v>
      </c>
      <c r="B313" s="2"/>
      <c r="C313" s="1" t="s">
        <v>17</v>
      </c>
      <c r="F313" s="66">
        <v>35</v>
      </c>
      <c r="G313" s="32">
        <v>529095</v>
      </c>
      <c r="H313" s="3">
        <f t="shared" si="55"/>
        <v>-581973.28999999992</v>
      </c>
      <c r="I313" s="4">
        <f t="shared" si="56"/>
        <v>-8789605429.8000011</v>
      </c>
    </row>
    <row r="314" spans="1:11" ht="15" customHeight="1" x14ac:dyDescent="0.2">
      <c r="A314" s="2">
        <v>45147</v>
      </c>
      <c r="C314" s="1" t="s">
        <v>367</v>
      </c>
      <c r="D314" s="66">
        <v>89645.58</v>
      </c>
      <c r="E314" s="32">
        <v>1358130537</v>
      </c>
      <c r="F314" s="118"/>
      <c r="H314" s="3">
        <f t="shared" si="55"/>
        <v>-492327.7099999999</v>
      </c>
      <c r="I314" s="4">
        <f t="shared" si="56"/>
        <v>-7431474892.8000011</v>
      </c>
    </row>
    <row r="315" spans="1:11" ht="15" customHeight="1" x14ac:dyDescent="0.2">
      <c r="A315" s="2">
        <v>45169</v>
      </c>
      <c r="B315" s="2"/>
      <c r="C315" s="1" t="s">
        <v>18</v>
      </c>
      <c r="E315" s="32">
        <v>382695.86</v>
      </c>
      <c r="F315" s="118"/>
      <c r="H315" s="6">
        <f t="shared" si="55"/>
        <v>-492327.7099999999</v>
      </c>
      <c r="I315" s="7">
        <f t="shared" si="56"/>
        <v>-7431092196.9400015</v>
      </c>
    </row>
    <row r="316" spans="1:11" ht="15" customHeight="1" x14ac:dyDescent="0.2">
      <c r="A316" s="2">
        <v>45195</v>
      </c>
      <c r="B316" s="2"/>
      <c r="C316" s="1" t="s">
        <v>397</v>
      </c>
      <c r="D316" s="16">
        <v>93659.15</v>
      </c>
      <c r="E316" s="32">
        <v>1438417225.7</v>
      </c>
      <c r="F316" s="118"/>
      <c r="H316" s="3">
        <f t="shared" si="55"/>
        <v>-398668.55999999994</v>
      </c>
      <c r="I316" s="4">
        <f t="shared" si="56"/>
        <v>-5992674971.2400017</v>
      </c>
    </row>
    <row r="317" spans="1:11" ht="15" customHeight="1" x14ac:dyDescent="0.2">
      <c r="A317" s="2">
        <v>45199</v>
      </c>
      <c r="B317" s="2"/>
      <c r="C317" s="1" t="s">
        <v>18</v>
      </c>
      <c r="F317" s="118"/>
      <c r="G317" s="152">
        <v>34091930.600000098</v>
      </c>
      <c r="H317" s="6">
        <f t="shared" si="55"/>
        <v>-398668.55999999994</v>
      </c>
      <c r="I317" s="7">
        <f t="shared" si="56"/>
        <v>-6026766901.8400021</v>
      </c>
    </row>
    <row r="318" spans="1:11" ht="15" customHeight="1" x14ac:dyDescent="0.2">
      <c r="A318" s="217">
        <v>45209</v>
      </c>
      <c r="B318" s="217"/>
      <c r="C318" s="40" t="s">
        <v>410</v>
      </c>
      <c r="D318" s="178"/>
      <c r="E318" s="211"/>
      <c r="F318" s="221">
        <v>71515.899999999994</v>
      </c>
      <c r="G318" s="211">
        <v>1121012447.6600001</v>
      </c>
      <c r="H318" s="3">
        <f t="shared" si="55"/>
        <v>-470184.45999999996</v>
      </c>
      <c r="I318" s="4">
        <f t="shared" si="56"/>
        <v>-7147779349.5000019</v>
      </c>
      <c r="J318" s="1"/>
      <c r="K318" s="1"/>
    </row>
    <row r="319" spans="1:11" ht="15" customHeight="1" x14ac:dyDescent="0.2">
      <c r="A319" s="217">
        <v>45209</v>
      </c>
      <c r="B319" s="217"/>
      <c r="C319" s="40" t="s">
        <v>17</v>
      </c>
      <c r="D319" s="178"/>
      <c r="E319" s="211"/>
      <c r="F319" s="221">
        <v>37</v>
      </c>
      <c r="G319" s="211">
        <v>579975.37</v>
      </c>
      <c r="H319" s="3">
        <f t="shared" si="55"/>
        <v>-470221.45999999996</v>
      </c>
      <c r="I319" s="4">
        <f t="shared" si="56"/>
        <v>-7148359324.8700018</v>
      </c>
      <c r="J319" s="1"/>
      <c r="K319" s="1"/>
    </row>
    <row r="320" spans="1:11" ht="15" customHeight="1" x14ac:dyDescent="0.2">
      <c r="A320" s="2">
        <v>45222</v>
      </c>
      <c r="B320" s="2"/>
      <c r="C320" s="1" t="s">
        <v>403</v>
      </c>
      <c r="D320" s="71">
        <v>84552.9</v>
      </c>
      <c r="E320" s="32">
        <v>1327565082.8999999</v>
      </c>
      <c r="F320" s="118"/>
      <c r="H320" s="3">
        <f t="shared" si="55"/>
        <v>-385668.55999999994</v>
      </c>
      <c r="I320" s="4">
        <f t="shared" si="56"/>
        <v>-5820794241.9700022</v>
      </c>
    </row>
    <row r="321" spans="1:9" ht="15" customHeight="1" x14ac:dyDescent="0.2">
      <c r="A321" s="2">
        <v>45229</v>
      </c>
      <c r="C321" s="1" t="s">
        <v>404</v>
      </c>
      <c r="D321" s="39">
        <v>91216.11</v>
      </c>
      <c r="E321" s="32">
        <v>1438660486.9200001</v>
      </c>
      <c r="H321" s="3">
        <f t="shared" si="55"/>
        <v>-294452.44999999995</v>
      </c>
      <c r="I321" s="4">
        <f t="shared" si="56"/>
        <v>-4382133755.0500021</v>
      </c>
    </row>
    <row r="322" spans="1:9" ht="15" customHeight="1" x14ac:dyDescent="0.2">
      <c r="A322" s="2">
        <v>45230</v>
      </c>
      <c r="C322" s="1" t="s">
        <v>18</v>
      </c>
      <c r="G322" s="152">
        <f>6110659.87+70966133.58</f>
        <v>77076793.450000003</v>
      </c>
      <c r="H322" s="6">
        <f t="shared" ref="H322" si="67">+H321+D322-F322</f>
        <v>-294452.44999999995</v>
      </c>
      <c r="I322" s="7">
        <f t="shared" ref="I322" si="68">+I321+E322-G322</f>
        <v>-4459210548.5000019</v>
      </c>
    </row>
    <row r="323" spans="1:9" ht="15" customHeight="1" x14ac:dyDescent="0.2">
      <c r="A323" s="2">
        <v>45236</v>
      </c>
      <c r="B323" s="2"/>
      <c r="C323" s="1" t="s">
        <v>425</v>
      </c>
      <c r="D323" s="169">
        <v>153285.6</v>
      </c>
      <c r="E323" s="32">
        <v>2439080467.1999998</v>
      </c>
      <c r="H323" s="3">
        <f t="shared" ref="H323" si="69">+H322+D323-F323</f>
        <v>-141166.84999999995</v>
      </c>
      <c r="I323" s="4">
        <f t="shared" ref="I323" si="70">+I322+E323-G323</f>
        <v>-2020130081.3000021</v>
      </c>
    </row>
    <row r="324" spans="1:9" ht="15" customHeight="1" x14ac:dyDescent="0.2">
      <c r="A324" s="2">
        <v>45231</v>
      </c>
      <c r="B324" s="2"/>
      <c r="C324" s="1" t="s">
        <v>418</v>
      </c>
      <c r="F324" s="169">
        <v>126250.6</v>
      </c>
      <c r="G324" s="32">
        <v>2007005788.2</v>
      </c>
      <c r="H324" s="3">
        <f t="shared" ref="H324:H326" si="71">+H323+D324-F324</f>
        <v>-267417.44999999995</v>
      </c>
      <c r="I324" s="4">
        <f t="shared" ref="I324:I326" si="72">+I323+E324-G324</f>
        <v>-4027135869.5000019</v>
      </c>
    </row>
    <row r="325" spans="1:9" ht="15" customHeight="1" x14ac:dyDescent="0.2">
      <c r="A325" s="2">
        <v>45231</v>
      </c>
      <c r="B325" s="2"/>
      <c r="C325" s="1" t="s">
        <v>17</v>
      </c>
      <c r="F325" s="169">
        <v>35</v>
      </c>
      <c r="G325" s="32">
        <v>556395</v>
      </c>
      <c r="H325" s="3">
        <f t="shared" si="71"/>
        <v>-267452.44999999995</v>
      </c>
      <c r="I325" s="4">
        <f t="shared" si="72"/>
        <v>-4027692264.5000019</v>
      </c>
    </row>
    <row r="326" spans="1:9" ht="15" customHeight="1" x14ac:dyDescent="0.2">
      <c r="A326" s="2">
        <v>45250</v>
      </c>
      <c r="B326" s="2"/>
      <c r="C326" s="1" t="s">
        <v>426</v>
      </c>
      <c r="D326" s="169">
        <v>85859.69</v>
      </c>
      <c r="E326" s="32">
        <v>1341385936.8699999</v>
      </c>
      <c r="H326" s="3">
        <f t="shared" si="71"/>
        <v>-181592.75999999995</v>
      </c>
      <c r="I326" s="4">
        <f t="shared" si="72"/>
        <v>-2686306327.630002</v>
      </c>
    </row>
    <row r="327" spans="1:9" ht="15" customHeight="1" x14ac:dyDescent="0.2">
      <c r="A327" s="2">
        <v>45245</v>
      </c>
      <c r="C327" s="1" t="s">
        <v>434</v>
      </c>
      <c r="D327" s="17"/>
      <c r="F327" s="169">
        <v>73859.69</v>
      </c>
      <c r="G327" s="32">
        <v>1159523273.3099999</v>
      </c>
      <c r="H327" s="3">
        <f t="shared" ref="H327:H330" si="73">+H326+D327-F327</f>
        <v>-255452.44999999995</v>
      </c>
      <c r="I327" s="4">
        <f t="shared" ref="I327:I330" si="74">+I326+E327-G327</f>
        <v>-3845829600.940002</v>
      </c>
    </row>
    <row r="328" spans="1:9" ht="15" customHeight="1" x14ac:dyDescent="0.2">
      <c r="A328" s="2">
        <v>45245</v>
      </c>
      <c r="C328" s="1" t="s">
        <v>435</v>
      </c>
      <c r="D328" s="17"/>
      <c r="F328" s="169">
        <v>138147.04</v>
      </c>
      <c r="G328" s="32">
        <v>2168770380.96</v>
      </c>
      <c r="H328" s="3">
        <f t="shared" si="73"/>
        <v>-393599.49</v>
      </c>
      <c r="I328" s="4">
        <f t="shared" si="74"/>
        <v>-6014599981.9000015</v>
      </c>
    </row>
    <row r="329" spans="1:9" ht="15" customHeight="1" x14ac:dyDescent="0.2">
      <c r="A329" s="2">
        <v>45245</v>
      </c>
      <c r="C329" s="1" t="s">
        <v>17</v>
      </c>
      <c r="D329" s="17"/>
      <c r="F329" s="169">
        <f>608.09+25</f>
        <v>633.09</v>
      </c>
      <c r="G329" s="32">
        <v>9938879.9100000001</v>
      </c>
      <c r="H329" s="3">
        <f t="shared" si="73"/>
        <v>-394232.58</v>
      </c>
      <c r="I329" s="4">
        <f t="shared" si="74"/>
        <v>-6024538861.8100014</v>
      </c>
    </row>
    <row r="330" spans="1:9" ht="15" customHeight="1" x14ac:dyDescent="0.2">
      <c r="A330" s="2">
        <v>45250</v>
      </c>
      <c r="B330" s="2"/>
      <c r="C330" s="1" t="s">
        <v>427</v>
      </c>
      <c r="D330" s="169">
        <v>163147.04</v>
      </c>
      <c r="E330" s="32">
        <v>2548846205.9200001</v>
      </c>
      <c r="H330" s="3">
        <f t="shared" si="73"/>
        <v>-231085.54</v>
      </c>
      <c r="I330" s="4">
        <f t="shared" si="74"/>
        <v>-3475692655.8900013</v>
      </c>
    </row>
    <row r="331" spans="1:9" ht="15" customHeight="1" x14ac:dyDescent="0.2">
      <c r="A331" s="2">
        <v>45254</v>
      </c>
      <c r="B331" s="2"/>
      <c r="C331" s="1" t="s">
        <v>422</v>
      </c>
      <c r="F331" s="169">
        <v>92673.04</v>
      </c>
      <c r="G331" s="32">
        <v>1445050712.72</v>
      </c>
      <c r="H331" s="3">
        <f t="shared" ref="H331:H335" si="75">+H330+D331-F331</f>
        <v>-323758.58</v>
      </c>
      <c r="I331" s="4">
        <f t="shared" ref="I331:I335" si="76">+I330+E331-G331</f>
        <v>-4920743368.6100016</v>
      </c>
    </row>
    <row r="332" spans="1:9" ht="15" customHeight="1" x14ac:dyDescent="0.2">
      <c r="A332" s="2">
        <v>45254</v>
      </c>
      <c r="B332" s="2"/>
      <c r="C332" s="1" t="s">
        <v>17</v>
      </c>
      <c r="F332" s="169">
        <v>25</v>
      </c>
      <c r="G332" s="32">
        <v>389825</v>
      </c>
      <c r="H332" s="3">
        <f t="shared" si="75"/>
        <v>-323783.58</v>
      </c>
      <c r="I332" s="4">
        <f t="shared" si="76"/>
        <v>-4921133193.6100016</v>
      </c>
    </row>
    <row r="333" spans="1:9" ht="15" customHeight="1" x14ac:dyDescent="0.2">
      <c r="A333" s="2">
        <v>45257</v>
      </c>
      <c r="B333" s="2"/>
      <c r="C333" s="1" t="s">
        <v>431</v>
      </c>
      <c r="D333" s="169">
        <v>92297.46</v>
      </c>
      <c r="E333" s="32">
        <v>1440117268.3800001</v>
      </c>
      <c r="H333" s="3">
        <f t="shared" si="75"/>
        <v>-231486.12</v>
      </c>
      <c r="I333" s="4">
        <f t="shared" si="76"/>
        <v>-3481015925.2300014</v>
      </c>
    </row>
    <row r="334" spans="1:9" ht="15" customHeight="1" x14ac:dyDescent="0.2">
      <c r="A334" s="2">
        <v>45257</v>
      </c>
      <c r="B334" s="2"/>
      <c r="C334" s="1" t="s">
        <v>17</v>
      </c>
      <c r="D334" s="17"/>
      <c r="F334" s="223">
        <v>0.01</v>
      </c>
      <c r="G334" s="152">
        <v>149.94</v>
      </c>
      <c r="H334" s="3">
        <f t="shared" si="75"/>
        <v>-231486.13</v>
      </c>
      <c r="I334" s="4">
        <f t="shared" si="76"/>
        <v>-3481016075.1700015</v>
      </c>
    </row>
    <row r="335" spans="1:9" ht="15" customHeight="1" x14ac:dyDescent="0.2">
      <c r="A335" s="2">
        <v>45257</v>
      </c>
      <c r="B335" s="2"/>
      <c r="C335" s="1" t="s">
        <v>432</v>
      </c>
      <c r="D335" s="169">
        <v>162780.13</v>
      </c>
      <c r="E335" s="32">
        <v>2539858368.3899999</v>
      </c>
      <c r="H335" s="3">
        <f t="shared" si="75"/>
        <v>-68706</v>
      </c>
      <c r="I335" s="4">
        <f t="shared" si="76"/>
        <v>-941157706.78000164</v>
      </c>
    </row>
    <row r="336" spans="1:9" ht="15" customHeight="1" x14ac:dyDescent="0.2">
      <c r="A336" s="2">
        <v>45260</v>
      </c>
      <c r="C336" s="1" t="s">
        <v>18</v>
      </c>
      <c r="G336" s="152">
        <f>26290797.2800007+56209153.14</f>
        <v>82499950.420000702</v>
      </c>
      <c r="H336" s="6">
        <f t="shared" ref="H336" si="77">+H335+D336-F336</f>
        <v>-68706</v>
      </c>
      <c r="I336" s="7">
        <f t="shared" ref="I336" si="78">+I335+E336-G336</f>
        <v>-1023657657.2000023</v>
      </c>
    </row>
    <row r="337" spans="1:11" ht="15" customHeight="1" x14ac:dyDescent="0.2">
      <c r="A337" s="2">
        <v>45273</v>
      </c>
      <c r="C337" s="1" t="s">
        <v>455</v>
      </c>
      <c r="D337" s="224">
        <v>68706</v>
      </c>
      <c r="E337" s="32">
        <v>1073943486</v>
      </c>
      <c r="H337" s="3">
        <f t="shared" ref="H337" si="79">+H336+D337-F337</f>
        <v>0</v>
      </c>
      <c r="I337" s="4">
        <f t="shared" ref="I337" si="80">+I336+E337-G337</f>
        <v>50285828.799997687</v>
      </c>
    </row>
    <row r="338" spans="1:11" ht="15" customHeight="1" x14ac:dyDescent="0.2">
      <c r="A338" s="2">
        <v>45291</v>
      </c>
      <c r="C338" s="1" t="s">
        <v>18</v>
      </c>
      <c r="G338" s="152">
        <f>60804810-10518981.2</f>
        <v>50285828.799999997</v>
      </c>
      <c r="H338" s="6">
        <f t="shared" ref="H338" si="81">+H337+D338-F338</f>
        <v>0</v>
      </c>
      <c r="I338" s="7">
        <f t="shared" ref="I338" si="82">+I337+E338-G338</f>
        <v>-2.3096799850463867E-6</v>
      </c>
      <c r="J338" s="4">
        <v>0</v>
      </c>
      <c r="K338" s="4">
        <v>0</v>
      </c>
    </row>
    <row r="339" spans="1:11" ht="15" customHeight="1" x14ac:dyDescent="0.2">
      <c r="G339" s="32"/>
    </row>
    <row r="368" spans="1:1" ht="15" customHeight="1" x14ac:dyDescent="0.2">
      <c r="A368" s="5" t="s">
        <v>0</v>
      </c>
    </row>
    <row r="369" spans="1:9" ht="15" customHeight="1" x14ac:dyDescent="0.2">
      <c r="A369" s="5" t="s">
        <v>11</v>
      </c>
    </row>
    <row r="370" spans="1:9" ht="15" customHeight="1" x14ac:dyDescent="0.2">
      <c r="A370" s="5" t="s">
        <v>197</v>
      </c>
    </row>
    <row r="371" spans="1:9" ht="15" customHeight="1" x14ac:dyDescent="0.2">
      <c r="A371" s="5" t="s">
        <v>160</v>
      </c>
    </row>
    <row r="373" spans="1:9" ht="15" customHeight="1" x14ac:dyDescent="0.2">
      <c r="A373" s="9" t="s">
        <v>3</v>
      </c>
      <c r="B373" s="8" t="s">
        <v>4</v>
      </c>
      <c r="C373" s="8" t="s">
        <v>5</v>
      </c>
      <c r="D373" s="233" t="s">
        <v>6</v>
      </c>
      <c r="E373" s="233"/>
      <c r="F373" s="233" t="s">
        <v>7</v>
      </c>
      <c r="G373" s="233"/>
      <c r="H373" s="233" t="s">
        <v>8</v>
      </c>
      <c r="I373" s="233"/>
    </row>
    <row r="374" spans="1:9" ht="15" customHeight="1" x14ac:dyDescent="0.2">
      <c r="A374" s="10"/>
      <c r="B374" s="11"/>
      <c r="C374" s="11" t="s">
        <v>123</v>
      </c>
      <c r="D374" s="12"/>
      <c r="E374" s="184"/>
      <c r="F374" s="104"/>
      <c r="G374" s="180"/>
      <c r="H374" s="101">
        <v>-21648.2</v>
      </c>
      <c r="I374" s="13">
        <v>-338361366</v>
      </c>
    </row>
    <row r="375" spans="1:9" ht="15" customHeight="1" x14ac:dyDescent="0.2">
      <c r="A375" s="48">
        <v>44980</v>
      </c>
      <c r="B375" s="49"/>
      <c r="C375" s="49" t="s">
        <v>188</v>
      </c>
      <c r="D375" s="51"/>
      <c r="E375" s="55"/>
      <c r="F375" s="123">
        <v>50234.66</v>
      </c>
      <c r="G375" s="138">
        <v>764471055.88</v>
      </c>
      <c r="H375" s="51">
        <f t="shared" ref="H375:H385" si="83">+H374+D375-F375</f>
        <v>-71882.86</v>
      </c>
      <c r="I375" s="50">
        <f t="shared" ref="I375:I385" si="84">+I374+E375-G375</f>
        <v>-1102832421.8800001</v>
      </c>
    </row>
    <row r="376" spans="1:9" ht="15" customHeight="1" x14ac:dyDescent="0.2">
      <c r="A376" s="48">
        <v>44980</v>
      </c>
      <c r="B376" s="49"/>
      <c r="C376" s="49" t="s">
        <v>17</v>
      </c>
      <c r="D376" s="51"/>
      <c r="E376" s="55"/>
      <c r="F376" s="123">
        <v>50</v>
      </c>
      <c r="G376" s="138">
        <v>760900</v>
      </c>
      <c r="H376" s="51">
        <f t="shared" si="83"/>
        <v>-71932.86</v>
      </c>
      <c r="I376" s="50">
        <f t="shared" si="84"/>
        <v>-1103593321.8800001</v>
      </c>
    </row>
    <row r="377" spans="1:9" ht="15" customHeight="1" x14ac:dyDescent="0.2">
      <c r="A377" s="48">
        <v>44984</v>
      </c>
      <c r="B377" s="49"/>
      <c r="C377" s="49" t="s">
        <v>188</v>
      </c>
      <c r="D377" s="51"/>
      <c r="E377" s="55"/>
      <c r="F377" s="123">
        <v>228.2</v>
      </c>
      <c r="G377" s="138">
        <v>3472291.2</v>
      </c>
      <c r="H377" s="52">
        <f t="shared" si="83"/>
        <v>-72161.06</v>
      </c>
      <c r="I377" s="53">
        <f t="shared" si="84"/>
        <v>-1107065613.0800002</v>
      </c>
    </row>
    <row r="378" spans="1:9" ht="15" customHeight="1" x14ac:dyDescent="0.2">
      <c r="A378" s="48">
        <v>44987</v>
      </c>
      <c r="B378" s="49"/>
      <c r="C378" s="49" t="s">
        <v>202</v>
      </c>
      <c r="D378" s="97">
        <v>71784.66</v>
      </c>
      <c r="E378" s="55">
        <v>1090696124.04</v>
      </c>
      <c r="F378" s="120"/>
      <c r="G378" s="138"/>
      <c r="H378" s="51">
        <f t="shared" si="83"/>
        <v>-376.39999999999418</v>
      </c>
      <c r="I378" s="50">
        <f t="shared" si="84"/>
        <v>-16369489.0400002</v>
      </c>
    </row>
    <row r="379" spans="1:9" ht="15" customHeight="1" x14ac:dyDescent="0.2">
      <c r="A379" s="48">
        <v>45016</v>
      </c>
      <c r="B379" s="49"/>
      <c r="C379" s="49" t="s">
        <v>18</v>
      </c>
      <c r="D379" s="51"/>
      <c r="E379" s="55">
        <v>10486357.039999999</v>
      </c>
      <c r="F379" s="120"/>
      <c r="G379" s="138"/>
      <c r="H379" s="52">
        <f t="shared" si="83"/>
        <v>-376.39999999999418</v>
      </c>
      <c r="I379" s="53">
        <f t="shared" si="84"/>
        <v>-5883132.0000002012</v>
      </c>
    </row>
    <row r="380" spans="1:9" ht="15" customHeight="1" x14ac:dyDescent="0.2">
      <c r="A380" s="2">
        <v>45056</v>
      </c>
      <c r="C380" s="1" t="s">
        <v>265</v>
      </c>
      <c r="F380" s="202">
        <v>23070</v>
      </c>
      <c r="G380" s="32">
        <v>340443990</v>
      </c>
      <c r="H380" s="52">
        <f t="shared" si="83"/>
        <v>-23446.399999999994</v>
      </c>
      <c r="I380" s="53">
        <f t="shared" si="84"/>
        <v>-346327122.00000018</v>
      </c>
    </row>
    <row r="381" spans="1:9" ht="15" customHeight="1" x14ac:dyDescent="0.2">
      <c r="A381" s="2">
        <v>45113</v>
      </c>
      <c r="B381" s="2"/>
      <c r="C381" s="1" t="s">
        <v>329</v>
      </c>
      <c r="F381" s="33">
        <v>1050</v>
      </c>
      <c r="G381" s="32">
        <v>15763650</v>
      </c>
      <c r="H381" s="6">
        <f t="shared" si="83"/>
        <v>-24496.399999999994</v>
      </c>
      <c r="I381" s="7">
        <f t="shared" si="84"/>
        <v>-362090772.00000018</v>
      </c>
    </row>
    <row r="382" spans="1:9" ht="15" customHeight="1" x14ac:dyDescent="0.2">
      <c r="A382" s="2">
        <v>45148</v>
      </c>
      <c r="B382" s="2"/>
      <c r="C382" s="1" t="s">
        <v>329</v>
      </c>
      <c r="F382" s="33">
        <v>50106.01</v>
      </c>
      <c r="G382" s="32">
        <v>761911988.05999994</v>
      </c>
      <c r="H382" s="3">
        <f t="shared" si="83"/>
        <v>-74602.41</v>
      </c>
      <c r="I382" s="4">
        <f t="shared" si="84"/>
        <v>-1124002760.0600002</v>
      </c>
    </row>
    <row r="383" spans="1:9" ht="15" customHeight="1" x14ac:dyDescent="0.2">
      <c r="A383" s="2">
        <v>45148</v>
      </c>
      <c r="B383" s="2"/>
      <c r="C383" s="1" t="s">
        <v>17</v>
      </c>
      <c r="F383" s="33">
        <v>50</v>
      </c>
      <c r="G383" s="32">
        <v>760300</v>
      </c>
      <c r="H383" s="3">
        <f t="shared" si="83"/>
        <v>-74652.41</v>
      </c>
      <c r="I383" s="4">
        <f t="shared" si="84"/>
        <v>-1124763060.0600002</v>
      </c>
    </row>
    <row r="384" spans="1:9" ht="15" customHeight="1" x14ac:dyDescent="0.2">
      <c r="A384" s="2">
        <v>45154</v>
      </c>
      <c r="C384" s="1" t="s">
        <v>370</v>
      </c>
      <c r="D384" s="33">
        <v>74276.009999999995</v>
      </c>
      <c r="E384" s="4">
        <v>1129730684.5</v>
      </c>
      <c r="H384" s="3">
        <f t="shared" si="83"/>
        <v>-376.40000000000873</v>
      </c>
      <c r="I384" s="4">
        <f t="shared" si="84"/>
        <v>4967624.4399998188</v>
      </c>
    </row>
    <row r="385" spans="1:11" ht="15" customHeight="1" x14ac:dyDescent="0.2">
      <c r="A385" s="2">
        <v>45169</v>
      </c>
      <c r="C385" s="1" t="s">
        <v>18</v>
      </c>
      <c r="G385" s="32">
        <v>10850756.439999999</v>
      </c>
      <c r="H385" s="6">
        <f t="shared" si="83"/>
        <v>-376.40000000000873</v>
      </c>
      <c r="I385" s="7">
        <f t="shared" si="84"/>
        <v>-5883132.0000001807</v>
      </c>
      <c r="J385" s="4">
        <v>-376.4</v>
      </c>
      <c r="K385" s="4">
        <v>-5883132</v>
      </c>
    </row>
    <row r="387" spans="1:11" ht="15" customHeight="1" x14ac:dyDescent="0.2">
      <c r="A387" s="5" t="s">
        <v>0</v>
      </c>
    </row>
    <row r="388" spans="1:11" ht="15" customHeight="1" x14ac:dyDescent="0.2">
      <c r="A388" s="5" t="s">
        <v>11</v>
      </c>
    </row>
    <row r="389" spans="1:11" ht="15" customHeight="1" x14ac:dyDescent="0.2">
      <c r="A389" s="5" t="s">
        <v>81</v>
      </c>
    </row>
    <row r="390" spans="1:11" ht="15" customHeight="1" x14ac:dyDescent="0.2">
      <c r="A390" s="5" t="s">
        <v>160</v>
      </c>
    </row>
    <row r="392" spans="1:11" ht="15" customHeight="1" x14ac:dyDescent="0.2">
      <c r="A392" s="9" t="s">
        <v>3</v>
      </c>
      <c r="B392" s="82" t="s">
        <v>4</v>
      </c>
      <c r="C392" s="8" t="s">
        <v>5</v>
      </c>
      <c r="D392" s="234" t="s">
        <v>6</v>
      </c>
      <c r="E392" s="233"/>
      <c r="F392" s="234" t="s">
        <v>7</v>
      </c>
      <c r="G392" s="233"/>
      <c r="H392" s="234" t="s">
        <v>8</v>
      </c>
      <c r="I392" s="233"/>
    </row>
    <row r="393" spans="1:11" ht="15" customHeight="1" x14ac:dyDescent="0.2">
      <c r="A393" s="10"/>
      <c r="B393" s="83"/>
      <c r="C393" s="11" t="s">
        <v>9</v>
      </c>
      <c r="D393" s="12"/>
      <c r="E393" s="187"/>
      <c r="F393" s="124"/>
      <c r="G393" s="181"/>
      <c r="H393" s="85">
        <v>0</v>
      </c>
      <c r="I393" s="88">
        <v>0</v>
      </c>
    </row>
    <row r="394" spans="1:11" ht="15" customHeight="1" x14ac:dyDescent="0.2">
      <c r="A394" s="84">
        <v>44630</v>
      </c>
      <c r="B394" s="86"/>
      <c r="C394" s="87" t="s">
        <v>35</v>
      </c>
      <c r="D394" s="64"/>
      <c r="E394" s="186"/>
      <c r="F394" s="125">
        <v>267993</v>
      </c>
      <c r="G394" s="182">
        <v>3851330082.9299998</v>
      </c>
      <c r="H394" s="78">
        <f t="shared" ref="H394:H402" si="85">+H393+D394-F394</f>
        <v>-267993</v>
      </c>
      <c r="I394" s="79">
        <f t="shared" ref="I394:I402" si="86">+I393+E394-G394</f>
        <v>-3851330082.9299998</v>
      </c>
    </row>
    <row r="395" spans="1:11" ht="15" customHeight="1" x14ac:dyDescent="0.2">
      <c r="A395" s="84">
        <v>44630</v>
      </c>
      <c r="B395" s="86"/>
      <c r="C395" s="87" t="s">
        <v>17</v>
      </c>
      <c r="D395" s="64"/>
      <c r="E395" s="186"/>
      <c r="F395" s="125">
        <v>57</v>
      </c>
      <c r="G395" s="182">
        <v>819147.57000000007</v>
      </c>
      <c r="H395" s="78">
        <f t="shared" si="85"/>
        <v>-268050</v>
      </c>
      <c r="I395" s="79">
        <f t="shared" si="86"/>
        <v>-3852149230.5</v>
      </c>
    </row>
    <row r="396" spans="1:11" ht="15" customHeight="1" x14ac:dyDescent="0.2">
      <c r="A396" s="77">
        <v>44826</v>
      </c>
      <c r="C396" s="76" t="s">
        <v>113</v>
      </c>
      <c r="D396" s="51"/>
      <c r="E396" s="186"/>
      <c r="F396" s="126">
        <v>6629.56</v>
      </c>
      <c r="G396" s="182">
        <v>99516325.159999996</v>
      </c>
      <c r="H396" s="78">
        <f t="shared" si="85"/>
        <v>-274679.56</v>
      </c>
      <c r="I396" s="79">
        <f t="shared" si="86"/>
        <v>-3951665555.6599998</v>
      </c>
    </row>
    <row r="397" spans="1:11" ht="15" customHeight="1" x14ac:dyDescent="0.2">
      <c r="A397" s="77">
        <v>44834</v>
      </c>
      <c r="C397" s="76" t="s">
        <v>18</v>
      </c>
      <c r="D397" s="51"/>
      <c r="E397" s="186">
        <v>7470063</v>
      </c>
      <c r="F397" s="127"/>
      <c r="G397" s="182"/>
      <c r="H397" s="78">
        <f t="shared" si="85"/>
        <v>-274679.56</v>
      </c>
      <c r="I397" s="79">
        <f t="shared" si="86"/>
        <v>-3944195492.6599998</v>
      </c>
    </row>
    <row r="398" spans="1:11" ht="15" customHeight="1" x14ac:dyDescent="0.2">
      <c r="A398" s="77">
        <v>44846</v>
      </c>
      <c r="C398" s="76" t="s">
        <v>94</v>
      </c>
      <c r="D398" s="227">
        <v>134575.6</v>
      </c>
      <c r="E398" s="186">
        <v>2051201295.2</v>
      </c>
      <c r="F398" s="127"/>
      <c r="G398" s="182"/>
      <c r="H398" s="78">
        <f t="shared" si="85"/>
        <v>-140103.96</v>
      </c>
      <c r="I398" s="79">
        <f t="shared" si="86"/>
        <v>-1892994197.4599998</v>
      </c>
    </row>
    <row r="399" spans="1:11" ht="15" customHeight="1" x14ac:dyDescent="0.2">
      <c r="A399" s="77">
        <v>44852</v>
      </c>
      <c r="C399" s="76" t="s">
        <v>95</v>
      </c>
      <c r="D399" s="227">
        <v>133709.81</v>
      </c>
      <c r="E399" s="186">
        <v>2038004924.02</v>
      </c>
      <c r="F399" s="127"/>
      <c r="G399" s="182"/>
      <c r="H399" s="78">
        <f t="shared" si="85"/>
        <v>-6394.1499999999942</v>
      </c>
      <c r="I399" s="79">
        <f t="shared" si="86"/>
        <v>145010726.56000018</v>
      </c>
    </row>
    <row r="400" spans="1:11" ht="15" customHeight="1" x14ac:dyDescent="0.2">
      <c r="A400" s="77">
        <v>44840</v>
      </c>
      <c r="C400" s="76" t="s">
        <v>110</v>
      </c>
      <c r="D400" s="51"/>
      <c r="E400" s="186"/>
      <c r="F400" s="226">
        <v>149957</v>
      </c>
      <c r="G400" s="182">
        <v>2278746572</v>
      </c>
      <c r="H400" s="78">
        <f t="shared" si="85"/>
        <v>-156351.15</v>
      </c>
      <c r="I400" s="79">
        <f t="shared" si="86"/>
        <v>-2133735845.4399998</v>
      </c>
    </row>
    <row r="401" spans="1:9" ht="15" customHeight="1" x14ac:dyDescent="0.2">
      <c r="A401" s="77">
        <v>44840</v>
      </c>
      <c r="C401" s="76" t="s">
        <v>17</v>
      </c>
      <c r="D401" s="51"/>
      <c r="E401" s="186"/>
      <c r="F401" s="226">
        <v>43</v>
      </c>
      <c r="G401" s="182">
        <v>653428</v>
      </c>
      <c r="H401" s="78">
        <f t="shared" si="85"/>
        <v>-156394.15</v>
      </c>
      <c r="I401" s="79">
        <f t="shared" si="86"/>
        <v>-2134389273.4399998</v>
      </c>
    </row>
    <row r="402" spans="1:9" ht="15" customHeight="1" x14ac:dyDescent="0.2">
      <c r="A402" s="77">
        <v>44840</v>
      </c>
      <c r="C402" s="76" t="s">
        <v>110</v>
      </c>
      <c r="D402" s="51"/>
      <c r="E402" s="186"/>
      <c r="F402" s="226">
        <f>120179.75-1937.34</f>
        <v>118242.41</v>
      </c>
      <c r="G402" s="182">
        <f>1826251481-29439818.64</f>
        <v>1796811662.3599999</v>
      </c>
      <c r="H402" s="78">
        <f t="shared" si="85"/>
        <v>-274636.56</v>
      </c>
      <c r="I402" s="79">
        <f t="shared" si="86"/>
        <v>-3931200935.7999997</v>
      </c>
    </row>
    <row r="403" spans="1:9" ht="15" customHeight="1" x14ac:dyDescent="0.2">
      <c r="A403" s="77">
        <v>44840</v>
      </c>
      <c r="C403" s="76" t="s">
        <v>17</v>
      </c>
      <c r="D403" s="51"/>
      <c r="E403" s="186"/>
      <c r="F403" s="226">
        <v>43</v>
      </c>
      <c r="G403" s="182">
        <v>653428</v>
      </c>
      <c r="H403" s="78">
        <f t="shared" ref="H403:H406" si="87">+H402+D403-F403</f>
        <v>-274679.56</v>
      </c>
      <c r="I403" s="79">
        <f t="shared" ref="I403:I406" si="88">+I402+E403-G403</f>
        <v>-3931854363.7999997</v>
      </c>
    </row>
    <row r="404" spans="1:9" ht="15" customHeight="1" x14ac:dyDescent="0.2">
      <c r="A404" s="77"/>
      <c r="C404" s="76"/>
      <c r="D404" s="51"/>
      <c r="E404" s="186"/>
      <c r="F404" s="127">
        <v>1937.34</v>
      </c>
      <c r="G404" s="182">
        <v>29439818.640000001</v>
      </c>
      <c r="H404" s="78">
        <f t="shared" ref="H404:H405" si="89">+H403+D404-F404</f>
        <v>-276616.90000000002</v>
      </c>
      <c r="I404" s="79">
        <f t="shared" ref="I404:I405" si="90">+I403+E404-G404</f>
        <v>-3961294182.4399996</v>
      </c>
    </row>
    <row r="405" spans="1:9" ht="15" customHeight="1" x14ac:dyDescent="0.2">
      <c r="A405" s="77">
        <v>44840</v>
      </c>
      <c r="C405" s="76" t="s">
        <v>181</v>
      </c>
      <c r="D405" s="51"/>
      <c r="E405" s="186"/>
      <c r="F405" s="128">
        <v>22866</v>
      </c>
      <c r="G405" s="182">
        <v>347471736</v>
      </c>
      <c r="H405" s="78">
        <f t="shared" si="89"/>
        <v>-299482.90000000002</v>
      </c>
      <c r="I405" s="79">
        <f t="shared" si="90"/>
        <v>-4308765918.4399996</v>
      </c>
    </row>
    <row r="406" spans="1:9" ht="15" customHeight="1" x14ac:dyDescent="0.2">
      <c r="A406" s="77">
        <v>44854</v>
      </c>
      <c r="C406" s="76" t="s">
        <v>111</v>
      </c>
      <c r="D406" s="51"/>
      <c r="E406" s="186"/>
      <c r="F406" s="127">
        <f>214262.87-12530.7-22530.7</f>
        <v>179201.46999999997</v>
      </c>
      <c r="G406" s="182">
        <f>3319146119.17-194113073.7-349023073.7</f>
        <v>2776009971.7700005</v>
      </c>
      <c r="H406" s="78">
        <f t="shared" si="87"/>
        <v>-478684.37</v>
      </c>
      <c r="I406" s="79">
        <f t="shared" si="88"/>
        <v>-7084775890.21</v>
      </c>
    </row>
    <row r="407" spans="1:9" ht="15" customHeight="1" x14ac:dyDescent="0.2">
      <c r="A407" s="77">
        <v>44854</v>
      </c>
      <c r="C407" s="76" t="s">
        <v>17</v>
      </c>
      <c r="D407" s="51"/>
      <c r="E407" s="186"/>
      <c r="F407" s="127">
        <v>43</v>
      </c>
      <c r="G407" s="182">
        <v>666113</v>
      </c>
      <c r="H407" s="78">
        <f t="shared" ref="H407:H408" si="91">+H406+D407-F407</f>
        <v>-478727.37</v>
      </c>
      <c r="I407" s="79">
        <f t="shared" ref="I407:I408" si="92">+I406+E407-G407</f>
        <v>-7085442003.21</v>
      </c>
    </row>
    <row r="408" spans="1:9" ht="15" customHeight="1" x14ac:dyDescent="0.2">
      <c r="A408" s="77">
        <v>44854</v>
      </c>
      <c r="C408" s="76" t="s">
        <v>449</v>
      </c>
      <c r="D408" s="51"/>
      <c r="E408" s="186"/>
      <c r="F408" s="192">
        <v>22530.7</v>
      </c>
      <c r="G408" s="182">
        <v>349023073.69999999</v>
      </c>
      <c r="H408" s="78">
        <f t="shared" si="91"/>
        <v>-501258.07</v>
      </c>
      <c r="I408" s="79">
        <f t="shared" si="92"/>
        <v>-7434465076.9099998</v>
      </c>
    </row>
    <row r="409" spans="1:9" ht="15" customHeight="1" x14ac:dyDescent="0.2">
      <c r="A409" s="77">
        <v>44854</v>
      </c>
      <c r="C409" s="76" t="s">
        <v>408</v>
      </c>
      <c r="D409" s="51"/>
      <c r="E409" s="186"/>
      <c r="F409" s="165">
        <v>12530.7</v>
      </c>
      <c r="G409" s="182">
        <v>194113073.69999999</v>
      </c>
      <c r="H409" s="78">
        <f t="shared" ref="H409" si="93">+H408+D409-F409</f>
        <v>-513788.77</v>
      </c>
      <c r="I409" s="79">
        <f t="shared" ref="I409" si="94">+I408+E409-G409</f>
        <v>-7628578150.6099997</v>
      </c>
    </row>
    <row r="410" spans="1:9" ht="15" customHeight="1" x14ac:dyDescent="0.2">
      <c r="A410" s="77">
        <v>44866</v>
      </c>
      <c r="C410" s="76" t="s">
        <v>105</v>
      </c>
      <c r="D410" s="51">
        <v>216361.9</v>
      </c>
      <c r="E410" s="186">
        <v>3359234859.4000001</v>
      </c>
      <c r="F410" s="127"/>
      <c r="G410" s="182"/>
      <c r="H410" s="78">
        <f t="shared" ref="H410" si="95">+H409+D410-F410</f>
        <v>-297426.87</v>
      </c>
      <c r="I410" s="79">
        <f t="shared" ref="I410" si="96">+I409+E410-G410</f>
        <v>-4269343291.2099996</v>
      </c>
    </row>
    <row r="411" spans="1:9" ht="15" customHeight="1" x14ac:dyDescent="0.2">
      <c r="A411" s="77"/>
      <c r="C411" s="76"/>
      <c r="D411" s="78"/>
      <c r="E411" s="186"/>
      <c r="F411" s="127"/>
      <c r="G411" s="182"/>
      <c r="H411" s="78"/>
      <c r="I411" s="79"/>
    </row>
    <row r="412" spans="1:9" ht="15" customHeight="1" x14ac:dyDescent="0.2">
      <c r="A412" s="77"/>
      <c r="C412" s="76"/>
      <c r="D412" s="78">
        <f>SUM(D398:D410)</f>
        <v>484647.31000000006</v>
      </c>
      <c r="E412" s="186"/>
      <c r="F412" s="127">
        <f>SUM(F403:F409,F400:F402,F394:F395)</f>
        <v>775444.62</v>
      </c>
      <c r="G412" s="182"/>
      <c r="H412" s="78"/>
      <c r="I412" s="79"/>
    </row>
    <row r="413" spans="1:9" ht="15" customHeight="1" x14ac:dyDescent="0.2">
      <c r="A413" s="77"/>
      <c r="C413" s="76"/>
      <c r="D413" s="78"/>
      <c r="E413" s="186"/>
      <c r="F413" s="127"/>
      <c r="G413" s="182"/>
      <c r="H413" s="78"/>
      <c r="I413" s="79"/>
    </row>
    <row r="414" spans="1:9" ht="15" customHeight="1" x14ac:dyDescent="0.2">
      <c r="A414" s="77"/>
      <c r="C414" s="76" t="s">
        <v>9</v>
      </c>
      <c r="D414" s="78"/>
      <c r="E414" s="186"/>
      <c r="F414" s="127"/>
      <c r="G414" s="182"/>
      <c r="H414" s="78">
        <v>-297426.87</v>
      </c>
      <c r="I414" s="79">
        <v>-4276813354.21</v>
      </c>
    </row>
    <row r="415" spans="1:9" ht="15" customHeight="1" x14ac:dyDescent="0.2">
      <c r="A415" s="77">
        <v>44928</v>
      </c>
      <c r="C415" s="76" t="s">
        <v>459</v>
      </c>
      <c r="E415" s="4"/>
      <c r="F415" s="78">
        <v>11484.52</v>
      </c>
      <c r="G415" s="186">
        <v>166445263.21000001</v>
      </c>
      <c r="H415" s="78">
        <f>+H414+D415-F415</f>
        <v>-308911.39</v>
      </c>
      <c r="I415" s="79">
        <f>+I414+E415-G415</f>
        <v>-4443258617.4200001</v>
      </c>
    </row>
    <row r="416" spans="1:9" ht="15" customHeight="1" x14ac:dyDescent="0.2">
      <c r="A416" s="77">
        <v>44939</v>
      </c>
      <c r="B416" s="2"/>
      <c r="C416" s="76" t="s">
        <v>141</v>
      </c>
      <c r="D416" s="78"/>
      <c r="E416" s="186"/>
      <c r="F416" s="129">
        <v>135843.88</v>
      </c>
      <c r="G416" s="182">
        <v>2087377060.0799999</v>
      </c>
      <c r="H416" s="78">
        <f>+H415+D416-F416</f>
        <v>-444755.27</v>
      </c>
      <c r="I416" s="79">
        <f>+I415+E416-G416</f>
        <v>-6530635677.5</v>
      </c>
    </row>
    <row r="417" spans="1:9" ht="15" customHeight="1" x14ac:dyDescent="0.2">
      <c r="A417" s="77">
        <v>44939</v>
      </c>
      <c r="B417" s="2"/>
      <c r="C417" s="76" t="s">
        <v>17</v>
      </c>
      <c r="D417" s="78"/>
      <c r="E417" s="186"/>
      <c r="F417" s="129">
        <v>75</v>
      </c>
      <c r="G417" s="182">
        <v>1152450</v>
      </c>
      <c r="H417" s="78">
        <f t="shared" ref="H417:I420" si="97">+H416+D417-F417</f>
        <v>-444830.27</v>
      </c>
      <c r="I417" s="79">
        <f t="shared" si="97"/>
        <v>-6531788127.5</v>
      </c>
    </row>
    <row r="418" spans="1:9" ht="15" customHeight="1" x14ac:dyDescent="0.2">
      <c r="A418" s="77">
        <v>44956</v>
      </c>
      <c r="B418" s="2"/>
      <c r="C418" s="76" t="s">
        <v>172</v>
      </c>
      <c r="D418" s="89">
        <v>135918.88</v>
      </c>
      <c r="E418" s="186">
        <v>2053598357.9200001</v>
      </c>
      <c r="F418" s="127"/>
      <c r="G418" s="182"/>
      <c r="H418" s="78">
        <f t="shared" si="97"/>
        <v>-308911.39</v>
      </c>
      <c r="I418" s="79">
        <f t="shared" si="97"/>
        <v>-4478189769.5799999</v>
      </c>
    </row>
    <row r="419" spans="1:9" ht="15" customHeight="1" x14ac:dyDescent="0.2">
      <c r="A419" s="77">
        <v>44957</v>
      </c>
      <c r="C419" s="76" t="s">
        <v>18</v>
      </c>
      <c r="D419" s="78"/>
      <c r="E419" s="186">
        <f>34931152.16-12341128.86</f>
        <v>22590023.299999997</v>
      </c>
      <c r="F419" s="127"/>
      <c r="G419" s="182"/>
      <c r="H419" s="78">
        <f t="shared" si="97"/>
        <v>-308911.39</v>
      </c>
      <c r="I419" s="79">
        <f t="shared" si="97"/>
        <v>-4455599746.2799997</v>
      </c>
    </row>
    <row r="420" spans="1:9" ht="15" customHeight="1" x14ac:dyDescent="0.2">
      <c r="A420" s="77">
        <v>44957</v>
      </c>
      <c r="B420" s="2"/>
      <c r="C420" s="76" t="s">
        <v>166</v>
      </c>
      <c r="D420" s="78"/>
      <c r="E420" s="186"/>
      <c r="F420" s="128">
        <v>201609.21</v>
      </c>
      <c r="G420" s="182">
        <v>3019904356.5900002</v>
      </c>
      <c r="H420" s="78">
        <f t="shared" si="97"/>
        <v>-510520.6</v>
      </c>
      <c r="I420" s="79">
        <f t="shared" si="97"/>
        <v>-7475504102.8699999</v>
      </c>
    </row>
    <row r="421" spans="1:9" ht="15" customHeight="1" x14ac:dyDescent="0.2">
      <c r="A421" s="77">
        <v>44957</v>
      </c>
      <c r="B421" s="2"/>
      <c r="C421" s="76" t="s">
        <v>17</v>
      </c>
      <c r="D421" s="78"/>
      <c r="E421" s="186"/>
      <c r="F421" s="128">
        <v>75</v>
      </c>
      <c r="G421" s="182">
        <v>1123425</v>
      </c>
      <c r="H421" s="78">
        <f t="shared" ref="H421:H423" si="98">+H420+D421-F421</f>
        <v>-510595.6</v>
      </c>
      <c r="I421" s="79">
        <f t="shared" ref="I421:I423" si="99">+I420+E421-G421</f>
        <v>-7476627527.8699999</v>
      </c>
    </row>
    <row r="422" spans="1:9" ht="15" customHeight="1" x14ac:dyDescent="0.2">
      <c r="A422" s="77">
        <v>44957</v>
      </c>
      <c r="B422" s="2"/>
      <c r="C422" s="1" t="s">
        <v>18</v>
      </c>
      <c r="D422" s="24"/>
      <c r="E422" s="73"/>
      <c r="F422" s="131"/>
      <c r="G422" s="140">
        <v>9622195.1899999995</v>
      </c>
      <c r="H422" s="80">
        <f t="shared" si="98"/>
        <v>-510595.6</v>
      </c>
      <c r="I422" s="81">
        <f t="shared" si="99"/>
        <v>-7486249723.0599995</v>
      </c>
    </row>
    <row r="423" spans="1:9" ht="15" customHeight="1" x14ac:dyDescent="0.2">
      <c r="A423" s="2">
        <v>44963</v>
      </c>
      <c r="C423" s="1" t="s">
        <v>171</v>
      </c>
      <c r="D423" s="14">
        <v>224550.21</v>
      </c>
      <c r="E423" s="32">
        <v>3358822041.1799998</v>
      </c>
      <c r="H423" s="78">
        <f t="shared" si="98"/>
        <v>-286045.39</v>
      </c>
      <c r="I423" s="79">
        <f t="shared" si="99"/>
        <v>-4127427681.8799996</v>
      </c>
    </row>
    <row r="424" spans="1:9" ht="15" customHeight="1" x14ac:dyDescent="0.2">
      <c r="A424" s="2">
        <v>44972</v>
      </c>
      <c r="C424" s="1" t="s">
        <v>222</v>
      </c>
      <c r="F424" s="121">
        <v>150707.67000000001</v>
      </c>
      <c r="G424" s="152">
        <v>2285933938.5599999</v>
      </c>
      <c r="H424" s="78">
        <f t="shared" ref="H424:H425" si="100">+H423+D424-F424</f>
        <v>-436753.06000000006</v>
      </c>
      <c r="I424" s="79">
        <f t="shared" ref="I424:I425" si="101">+I423+E424-G424</f>
        <v>-6413361620.4399996</v>
      </c>
    </row>
    <row r="425" spans="1:9" ht="15" customHeight="1" x14ac:dyDescent="0.2">
      <c r="A425" s="2">
        <v>44972</v>
      </c>
      <c r="C425" s="1" t="s">
        <v>17</v>
      </c>
      <c r="F425" s="121">
        <v>75</v>
      </c>
      <c r="G425" s="152">
        <v>1137600</v>
      </c>
      <c r="H425" s="78">
        <f t="shared" si="100"/>
        <v>-436828.06000000006</v>
      </c>
      <c r="I425" s="79">
        <f t="shared" si="101"/>
        <v>-6414499220.4399996</v>
      </c>
    </row>
    <row r="426" spans="1:9" ht="15" customHeight="1" x14ac:dyDescent="0.2">
      <c r="A426" s="2">
        <v>44985</v>
      </c>
      <c r="C426" s="1" t="s">
        <v>18</v>
      </c>
      <c r="E426" s="32">
        <v>9677476.4100000001</v>
      </c>
      <c r="H426" s="80">
        <f t="shared" ref="H426" si="102">+H425+D426-F426</f>
        <v>-436828.06000000006</v>
      </c>
      <c r="I426" s="81">
        <f t="shared" ref="I426" si="103">+I425+E426-G426</f>
        <v>-6404821744.0299997</v>
      </c>
    </row>
    <row r="427" spans="1:9" ht="15" customHeight="1" x14ac:dyDescent="0.2">
      <c r="A427" s="2">
        <v>44988</v>
      </c>
      <c r="C427" s="1" t="s">
        <v>203</v>
      </c>
      <c r="D427" s="18">
        <v>150782.67000000001</v>
      </c>
      <c r="E427" s="32">
        <v>2290991887.98</v>
      </c>
      <c r="H427" s="78">
        <f t="shared" ref="H427:H432" si="104">+H426+D427-F427</f>
        <v>-286045.39</v>
      </c>
      <c r="I427" s="79">
        <f t="shared" ref="I427:I432" si="105">+I426+E427-G427</f>
        <v>-4113829856.0499997</v>
      </c>
    </row>
    <row r="428" spans="1:9" ht="15" customHeight="1" x14ac:dyDescent="0.2">
      <c r="A428" s="2">
        <v>45016</v>
      </c>
      <c r="C428" s="1" t="s">
        <v>204</v>
      </c>
      <c r="D428" s="41">
        <v>282536.67</v>
      </c>
      <c r="E428" s="32">
        <v>4323941197.6799994</v>
      </c>
      <c r="H428" s="78">
        <f t="shared" si="104"/>
        <v>-3508.7200000000303</v>
      </c>
      <c r="I428" s="79">
        <f t="shared" si="105"/>
        <v>210111341.62999964</v>
      </c>
    </row>
    <row r="429" spans="1:9" ht="15" customHeight="1" x14ac:dyDescent="0.2">
      <c r="A429" s="2">
        <v>45000</v>
      </c>
      <c r="C429" s="1" t="s">
        <v>223</v>
      </c>
      <c r="F429" s="228">
        <v>150707.67000000001</v>
      </c>
      <c r="G429" s="152">
        <v>2317883964.5999999</v>
      </c>
      <c r="H429" s="78">
        <f t="shared" si="104"/>
        <v>-154216.39000000004</v>
      </c>
      <c r="I429" s="79">
        <f t="shared" si="105"/>
        <v>-2107772622.9700003</v>
      </c>
    </row>
    <row r="430" spans="1:9" ht="15" customHeight="1" x14ac:dyDescent="0.2">
      <c r="A430" s="2">
        <v>45000</v>
      </c>
      <c r="C430" s="1" t="s">
        <v>17</v>
      </c>
      <c r="F430" s="228">
        <v>75</v>
      </c>
      <c r="G430" s="152">
        <v>1153500</v>
      </c>
      <c r="H430" s="78">
        <f t="shared" si="104"/>
        <v>-154291.39000000004</v>
      </c>
      <c r="I430" s="79">
        <f t="shared" si="105"/>
        <v>-2108926122.9700003</v>
      </c>
    </row>
    <row r="431" spans="1:9" ht="15" customHeight="1" x14ac:dyDescent="0.2">
      <c r="A431" s="2">
        <v>45001</v>
      </c>
      <c r="C431" s="1" t="s">
        <v>224</v>
      </c>
      <c r="F431" s="229">
        <f>139580.29-7869.29</f>
        <v>131711</v>
      </c>
      <c r="G431" s="152">
        <v>2144651155.8499999</v>
      </c>
      <c r="H431" s="78">
        <f t="shared" si="104"/>
        <v>-286002.39</v>
      </c>
      <c r="I431" s="79">
        <f t="shared" si="105"/>
        <v>-4253577278.8200002</v>
      </c>
    </row>
    <row r="432" spans="1:9" ht="15" customHeight="1" x14ac:dyDescent="0.2">
      <c r="A432" s="2">
        <v>45001</v>
      </c>
      <c r="C432" s="1" t="s">
        <v>17</v>
      </c>
      <c r="F432" s="229">
        <v>43</v>
      </c>
      <c r="G432" s="152">
        <v>660695</v>
      </c>
      <c r="H432" s="78">
        <f t="shared" si="104"/>
        <v>-286045.39</v>
      </c>
      <c r="I432" s="79">
        <f t="shared" si="105"/>
        <v>-4254237973.8200002</v>
      </c>
    </row>
    <row r="433" spans="1:11" ht="15" customHeight="1" x14ac:dyDescent="0.2">
      <c r="A433" s="2">
        <v>45001</v>
      </c>
      <c r="C433" s="1" t="s">
        <v>460</v>
      </c>
      <c r="F433" s="103">
        <v>7869.29</v>
      </c>
      <c r="G433" s="152">
        <v>128135727.76000001</v>
      </c>
      <c r="H433" s="78">
        <f t="shared" ref="H433:H434" si="106">+H432+D433-F433</f>
        <v>-293914.68</v>
      </c>
      <c r="I433" s="79">
        <f t="shared" ref="I433:I434" si="107">+I432+E433-G433</f>
        <v>-4382373701.5799999</v>
      </c>
    </row>
    <row r="434" spans="1:11" ht="15" customHeight="1" x14ac:dyDescent="0.2">
      <c r="A434" s="2">
        <v>45016</v>
      </c>
      <c r="C434" s="1" t="s">
        <v>18</v>
      </c>
      <c r="E434" s="152">
        <v>136487768.34999999</v>
      </c>
      <c r="H434" s="78">
        <f t="shared" si="106"/>
        <v>-293914.68</v>
      </c>
      <c r="I434" s="79">
        <f t="shared" si="107"/>
        <v>-4245885933.23</v>
      </c>
    </row>
    <row r="435" spans="1:11" ht="15" customHeight="1" x14ac:dyDescent="0.2">
      <c r="A435" s="2">
        <v>45176</v>
      </c>
      <c r="B435" s="2"/>
      <c r="C435" s="1" t="s">
        <v>401</v>
      </c>
      <c r="F435" s="3">
        <f>69829.42-67749.87</f>
        <v>2079.5500000000029</v>
      </c>
      <c r="G435" s="32">
        <f>1068878931.94-1037047260.09</f>
        <v>31831671.850000024</v>
      </c>
      <c r="H435" s="78">
        <f t="shared" ref="H435:I438" si="108">+H434+D435-F435</f>
        <v>-295994.23</v>
      </c>
      <c r="I435" s="79">
        <f t="shared" si="108"/>
        <v>-4277717605.0799999</v>
      </c>
    </row>
    <row r="436" spans="1:11" ht="15" customHeight="1" x14ac:dyDescent="0.2">
      <c r="A436" s="2">
        <v>45176</v>
      </c>
      <c r="B436" s="2"/>
      <c r="C436" s="1" t="s">
        <v>402</v>
      </c>
      <c r="F436" s="162">
        <v>67749.87</v>
      </c>
      <c r="G436" s="32">
        <v>1037047260.09</v>
      </c>
      <c r="H436" s="78">
        <f t="shared" si="108"/>
        <v>-363744.1</v>
      </c>
      <c r="I436" s="79">
        <f t="shared" si="108"/>
        <v>-5314764865.1700001</v>
      </c>
      <c r="J436" s="1"/>
      <c r="K436" s="1"/>
    </row>
    <row r="437" spans="1:11" ht="15" customHeight="1" x14ac:dyDescent="0.2">
      <c r="A437" s="2">
        <v>45176</v>
      </c>
      <c r="B437" s="2"/>
      <c r="C437" s="1" t="s">
        <v>17</v>
      </c>
      <c r="F437" s="3">
        <v>5</v>
      </c>
      <c r="G437" s="32">
        <v>76535</v>
      </c>
      <c r="H437" s="78">
        <f t="shared" si="108"/>
        <v>-363749.1</v>
      </c>
      <c r="I437" s="79">
        <f t="shared" si="108"/>
        <v>-5314841400.1700001</v>
      </c>
    </row>
    <row r="438" spans="1:11" ht="15" customHeight="1" x14ac:dyDescent="0.2">
      <c r="A438" s="2">
        <v>45183</v>
      </c>
      <c r="B438" s="2"/>
      <c r="C438" s="1" t="s">
        <v>193</v>
      </c>
      <c r="D438" s="162">
        <v>67749.87</v>
      </c>
      <c r="E438" s="32">
        <v>1036437511.26</v>
      </c>
      <c r="H438" s="78">
        <f t="shared" si="108"/>
        <v>-295999.23</v>
      </c>
      <c r="I438" s="79">
        <f t="shared" si="108"/>
        <v>-4278403888.9099998</v>
      </c>
    </row>
    <row r="439" spans="1:11" ht="15" customHeight="1" x14ac:dyDescent="0.2">
      <c r="A439" s="2">
        <v>45199</v>
      </c>
      <c r="C439" s="1" t="s">
        <v>18</v>
      </c>
      <c r="E439" s="32">
        <v>609748.83000004303</v>
      </c>
      <c r="H439" s="80">
        <f t="shared" ref="H439" si="109">+H438+D439-F439</f>
        <v>-295999.23</v>
      </c>
      <c r="I439" s="81">
        <f t="shared" ref="I439" si="110">+I438+E439-G439</f>
        <v>-4277794140.0799999</v>
      </c>
    </row>
    <row r="440" spans="1:11" ht="15" customHeight="1" x14ac:dyDescent="0.2">
      <c r="A440" s="2">
        <v>45202</v>
      </c>
      <c r="B440" s="2"/>
      <c r="C440" s="1" t="s">
        <v>408</v>
      </c>
      <c r="F440" s="16">
        <v>54806.96</v>
      </c>
      <c r="G440" s="32">
        <v>850549212.24000001</v>
      </c>
      <c r="H440" s="78">
        <f t="shared" ref="H440:H442" si="111">+H439+D440-F440</f>
        <v>-350806.19</v>
      </c>
      <c r="I440" s="79">
        <f t="shared" ref="I440:I442" si="112">+I439+E440-G440</f>
        <v>-5128343352.3199997</v>
      </c>
      <c r="J440" s="1"/>
      <c r="K440" s="1"/>
    </row>
    <row r="441" spans="1:11" ht="15" customHeight="1" x14ac:dyDescent="0.2">
      <c r="A441" s="217">
        <v>45202</v>
      </c>
      <c r="B441" s="217"/>
      <c r="C441" s="40" t="s">
        <v>17</v>
      </c>
      <c r="D441" s="178"/>
      <c r="E441" s="211"/>
      <c r="F441" s="218">
        <v>5</v>
      </c>
      <c r="G441" s="211">
        <v>77595</v>
      </c>
      <c r="H441" s="78">
        <f t="shared" si="111"/>
        <v>-350811.19</v>
      </c>
      <c r="I441" s="79">
        <f t="shared" si="112"/>
        <v>-5128420947.3199997</v>
      </c>
      <c r="J441" s="1"/>
      <c r="K441" s="1"/>
    </row>
    <row r="442" spans="1:11" ht="15" customHeight="1" x14ac:dyDescent="0.2">
      <c r="A442" s="2">
        <v>45205</v>
      </c>
      <c r="C442" s="1" t="s">
        <v>405</v>
      </c>
      <c r="D442" s="16">
        <v>67342.66</v>
      </c>
      <c r="E442" s="32">
        <v>1041723607.5400001</v>
      </c>
      <c r="H442" s="78">
        <f t="shared" si="111"/>
        <v>-283468.53000000003</v>
      </c>
      <c r="I442" s="79">
        <f t="shared" si="112"/>
        <v>-4086697339.7799997</v>
      </c>
    </row>
    <row r="443" spans="1:11" ht="15" customHeight="1" x14ac:dyDescent="0.2">
      <c r="A443" s="2">
        <v>45230</v>
      </c>
      <c r="C443" s="1" t="s">
        <v>18</v>
      </c>
      <c r="E443" s="32">
        <v>3016273.4</v>
      </c>
      <c r="H443" s="80">
        <f t="shared" ref="H443" si="113">+H442+D443-F443</f>
        <v>-283468.53000000003</v>
      </c>
      <c r="I443" s="81">
        <f t="shared" ref="I443" si="114">+I442+E443-G443</f>
        <v>-4083681066.3799996</v>
      </c>
    </row>
    <row r="444" spans="1:11" ht="15" customHeight="1" x14ac:dyDescent="0.2">
      <c r="A444" s="2">
        <v>45273</v>
      </c>
      <c r="C444" s="1" t="s">
        <v>445</v>
      </c>
      <c r="D444" s="66">
        <v>66628.23</v>
      </c>
      <c r="E444" s="32">
        <v>1032604308.54</v>
      </c>
      <c r="F444" s="17"/>
      <c r="G444" s="32"/>
      <c r="H444" s="3">
        <f t="shared" ref="H444:I447" si="115">+H443+D444-F444</f>
        <v>-216840.30000000005</v>
      </c>
      <c r="I444" s="4">
        <f t="shared" si="115"/>
        <v>-3051076757.8399997</v>
      </c>
    </row>
    <row r="445" spans="1:11" ht="15" customHeight="1" x14ac:dyDescent="0.2">
      <c r="A445" s="2">
        <v>45266</v>
      </c>
      <c r="B445" s="2"/>
      <c r="C445" s="1" t="s">
        <v>449</v>
      </c>
      <c r="F445" s="66">
        <v>44092.53</v>
      </c>
      <c r="G445" s="32">
        <v>683610585.12</v>
      </c>
      <c r="H445" s="3">
        <f t="shared" si="115"/>
        <v>-260932.83000000005</v>
      </c>
      <c r="I445" s="4">
        <f t="shared" si="115"/>
        <v>-3734687342.9599996</v>
      </c>
    </row>
    <row r="446" spans="1:11" ht="15" customHeight="1" x14ac:dyDescent="0.2">
      <c r="A446" s="2">
        <v>45266</v>
      </c>
      <c r="B446" s="2"/>
      <c r="C446" s="1" t="s">
        <v>17</v>
      </c>
      <c r="F446" s="66">
        <v>5</v>
      </c>
      <c r="G446" s="32">
        <v>77520</v>
      </c>
      <c r="H446" s="3">
        <f t="shared" si="115"/>
        <v>-260937.83000000005</v>
      </c>
      <c r="I446" s="4">
        <f t="shared" si="115"/>
        <v>-3734764862.9599996</v>
      </c>
    </row>
    <row r="447" spans="1:11" ht="15" customHeight="1" x14ac:dyDescent="0.2">
      <c r="A447" s="2">
        <v>45291</v>
      </c>
      <c r="C447" s="1" t="s">
        <v>18</v>
      </c>
      <c r="E447" s="32">
        <v>106870.28</v>
      </c>
      <c r="H447" s="3">
        <f t="shared" si="115"/>
        <v>-260937.83000000005</v>
      </c>
      <c r="I447" s="4">
        <f t="shared" si="115"/>
        <v>-3734657992.6799994</v>
      </c>
      <c r="J447" s="4">
        <v>-260937.83</v>
      </c>
      <c r="K447" s="4">
        <v>-3734657992.6799998</v>
      </c>
    </row>
    <row r="460" spans="1:8" ht="15" customHeight="1" x14ac:dyDescent="0.2">
      <c r="A460" s="5" t="s">
        <v>0</v>
      </c>
    </row>
    <row r="461" spans="1:8" ht="15" customHeight="1" x14ac:dyDescent="0.2">
      <c r="A461" s="5" t="s">
        <v>11</v>
      </c>
    </row>
    <row r="462" spans="1:8" ht="15" customHeight="1" x14ac:dyDescent="0.2">
      <c r="A462" s="5" t="s">
        <v>41</v>
      </c>
    </row>
    <row r="463" spans="1:8" ht="15" customHeight="1" x14ac:dyDescent="0.2">
      <c r="A463" s="5" t="s">
        <v>160</v>
      </c>
      <c r="H463" s="3" t="s">
        <v>108</v>
      </c>
    </row>
    <row r="465" spans="1:11" ht="15" customHeight="1" x14ac:dyDescent="0.2">
      <c r="A465" s="9" t="s">
        <v>3</v>
      </c>
      <c r="B465" s="8" t="s">
        <v>4</v>
      </c>
      <c r="C465" s="8" t="s">
        <v>5</v>
      </c>
      <c r="D465" s="233" t="s">
        <v>6</v>
      </c>
      <c r="E465" s="233"/>
      <c r="F465" s="233" t="s">
        <v>7</v>
      </c>
      <c r="G465" s="233"/>
      <c r="H465" s="233" t="s">
        <v>8</v>
      </c>
      <c r="I465" s="233"/>
    </row>
    <row r="466" spans="1:11" ht="15" customHeight="1" x14ac:dyDescent="0.2">
      <c r="A466" s="10"/>
      <c r="B466" s="11"/>
      <c r="C466" s="11" t="s">
        <v>9</v>
      </c>
      <c r="D466" s="12"/>
      <c r="E466" s="184"/>
      <c r="F466" s="104"/>
      <c r="G466" s="180"/>
      <c r="H466" s="12"/>
      <c r="I466" s="13"/>
    </row>
    <row r="467" spans="1:11" ht="15" customHeight="1" x14ac:dyDescent="0.2">
      <c r="A467" s="62">
        <v>44625</v>
      </c>
      <c r="B467" s="63"/>
      <c r="C467" s="63" t="s">
        <v>125</v>
      </c>
      <c r="D467" s="64"/>
      <c r="E467" s="55"/>
      <c r="F467" s="130">
        <f>52930-40000</f>
        <v>12930</v>
      </c>
      <c r="G467" s="138">
        <f>760763419.3-574920400</f>
        <v>185843019.29999995</v>
      </c>
      <c r="H467" s="51"/>
      <c r="I467" s="50"/>
    </row>
    <row r="468" spans="1:11" ht="15" customHeight="1" x14ac:dyDescent="0.2">
      <c r="A468" s="62">
        <v>44625</v>
      </c>
      <c r="B468" s="63"/>
      <c r="C468" s="63" t="s">
        <v>17</v>
      </c>
      <c r="D468" s="64"/>
      <c r="E468" s="55"/>
      <c r="F468" s="105">
        <v>30</v>
      </c>
      <c r="G468" s="138">
        <v>431190.3</v>
      </c>
      <c r="H468" s="52"/>
      <c r="I468" s="53"/>
    </row>
    <row r="469" spans="1:11" ht="15" customHeight="1" x14ac:dyDescent="0.2">
      <c r="A469" s="62">
        <v>44740</v>
      </c>
      <c r="B469" s="63"/>
      <c r="C469" s="63" t="s">
        <v>126</v>
      </c>
      <c r="D469" s="64"/>
      <c r="E469" s="55"/>
      <c r="F469" s="105">
        <f>56166-18732-10000</f>
        <v>27434</v>
      </c>
      <c r="G469" s="138">
        <f>554098068-148020000</f>
        <v>406078068</v>
      </c>
      <c r="H469" s="51"/>
      <c r="I469" s="50"/>
    </row>
    <row r="470" spans="1:11" ht="15" customHeight="1" x14ac:dyDescent="0.2">
      <c r="A470" s="62">
        <v>44740</v>
      </c>
      <c r="B470" s="63"/>
      <c r="C470" s="63" t="s">
        <v>17</v>
      </c>
      <c r="D470" s="64"/>
      <c r="E470" s="55"/>
      <c r="F470" s="105">
        <v>30</v>
      </c>
      <c r="G470" s="138">
        <v>444060</v>
      </c>
      <c r="H470" s="52"/>
      <c r="I470" s="53"/>
    </row>
    <row r="472" spans="1:11" ht="15" customHeight="1" x14ac:dyDescent="0.2">
      <c r="C472" s="1" t="s">
        <v>9</v>
      </c>
      <c r="H472" s="3">
        <v>-40424</v>
      </c>
      <c r="I472" s="4">
        <v>-592796337.60000002</v>
      </c>
    </row>
    <row r="473" spans="1:11" ht="15" customHeight="1" x14ac:dyDescent="0.2">
      <c r="A473" s="2">
        <v>45243</v>
      </c>
      <c r="C473" s="1" t="s">
        <v>441</v>
      </c>
      <c r="D473" s="3">
        <v>40424</v>
      </c>
      <c r="E473" s="32">
        <v>592796337.60000002</v>
      </c>
      <c r="H473" s="3">
        <f>+H472+D473-F473</f>
        <v>0</v>
      </c>
      <c r="I473" s="4">
        <f>+I472+E473-G473</f>
        <v>0</v>
      </c>
      <c r="J473" s="4">
        <v>0</v>
      </c>
      <c r="K473" s="4">
        <v>0</v>
      </c>
    </row>
    <row r="477" spans="1:11" ht="15" customHeight="1" x14ac:dyDescent="0.2">
      <c r="A477" s="5" t="s">
        <v>0</v>
      </c>
    </row>
    <row r="478" spans="1:11" ht="15" customHeight="1" x14ac:dyDescent="0.2">
      <c r="A478" s="5" t="s">
        <v>11</v>
      </c>
    </row>
    <row r="479" spans="1:11" ht="15" customHeight="1" x14ac:dyDescent="0.2">
      <c r="A479" s="5" t="s">
        <v>43</v>
      </c>
    </row>
    <row r="480" spans="1:11" ht="15" customHeight="1" x14ac:dyDescent="0.2">
      <c r="A480" s="5" t="s">
        <v>160</v>
      </c>
    </row>
    <row r="482" spans="1:9" ht="15" customHeight="1" x14ac:dyDescent="0.2">
      <c r="A482" s="9" t="s">
        <v>3</v>
      </c>
      <c r="B482" s="8" t="s">
        <v>4</v>
      </c>
      <c r="C482" s="8" t="s">
        <v>5</v>
      </c>
      <c r="D482" s="233" t="s">
        <v>6</v>
      </c>
      <c r="E482" s="233"/>
      <c r="F482" s="233" t="s">
        <v>7</v>
      </c>
      <c r="G482" s="233"/>
      <c r="H482" s="233" t="s">
        <v>8</v>
      </c>
      <c r="I482" s="233"/>
    </row>
    <row r="483" spans="1:9" ht="15" customHeight="1" x14ac:dyDescent="0.2">
      <c r="A483" s="10"/>
      <c r="B483" s="11"/>
      <c r="C483" s="11" t="s">
        <v>9</v>
      </c>
      <c r="D483" s="12"/>
      <c r="E483" s="184"/>
      <c r="F483" s="104"/>
      <c r="G483" s="180"/>
      <c r="H483" s="12">
        <v>0</v>
      </c>
      <c r="I483" s="13">
        <v>0</v>
      </c>
    </row>
    <row r="484" spans="1:9" ht="15" customHeight="1" x14ac:dyDescent="0.2">
      <c r="A484" s="48">
        <v>44847</v>
      </c>
      <c r="B484" s="49"/>
      <c r="C484" s="49" t="s">
        <v>178</v>
      </c>
      <c r="D484" s="51"/>
      <c r="E484" s="55"/>
      <c r="F484" s="108">
        <f>172240.8-50000-50000-30000</f>
        <v>42240.799999999988</v>
      </c>
      <c r="G484" s="138">
        <f>2647857818.4-768650000-768650000-461190000</f>
        <v>649367818.4000001</v>
      </c>
      <c r="H484" s="51">
        <f>+H483+D484-F484</f>
        <v>-42240.799999999988</v>
      </c>
      <c r="I484" s="50">
        <f>+I483+E484-G484</f>
        <v>-649367818.4000001</v>
      </c>
    </row>
    <row r="485" spans="1:9" ht="15" customHeight="1" x14ac:dyDescent="0.2">
      <c r="A485" s="48">
        <v>44847</v>
      </c>
      <c r="B485" s="49"/>
      <c r="C485" s="49" t="s">
        <v>17</v>
      </c>
      <c r="D485" s="51"/>
      <c r="E485" s="55"/>
      <c r="F485" s="108">
        <v>30</v>
      </c>
      <c r="G485" s="138">
        <v>461190</v>
      </c>
      <c r="H485" s="51">
        <f t="shared" ref="H485:H487" si="116">+H484+D485-F485</f>
        <v>-42270.799999999988</v>
      </c>
      <c r="I485" s="50">
        <f t="shared" ref="I485:I487" si="117">+I484+E485-G485</f>
        <v>-649829008.4000001</v>
      </c>
    </row>
    <row r="486" spans="1:9" ht="15" customHeight="1" x14ac:dyDescent="0.2">
      <c r="A486" s="48">
        <v>44908</v>
      </c>
      <c r="B486" s="49"/>
      <c r="C486" s="1" t="s">
        <v>260</v>
      </c>
      <c r="D486" s="51"/>
      <c r="E486" s="55"/>
      <c r="F486" s="119">
        <f>79610.4-30000-24000</f>
        <v>25610.399999999994</v>
      </c>
      <c r="G486" s="138">
        <f>1245265876.8-469260000-375408000</f>
        <v>400597876.79999995</v>
      </c>
      <c r="H486" s="51">
        <f>+H485+D486-F486</f>
        <v>-67881.199999999983</v>
      </c>
      <c r="I486" s="50">
        <f>+I485+E486-G486</f>
        <v>-1050426885.2</v>
      </c>
    </row>
    <row r="487" spans="1:9" ht="15" customHeight="1" x14ac:dyDescent="0.2">
      <c r="A487" s="48">
        <v>44908</v>
      </c>
      <c r="B487" s="49"/>
      <c r="C487" s="1" t="s">
        <v>260</v>
      </c>
      <c r="D487" s="51"/>
      <c r="E487" s="55"/>
      <c r="F487" s="119">
        <v>30</v>
      </c>
      <c r="G487" s="138">
        <v>469260</v>
      </c>
      <c r="H487" s="51">
        <f t="shared" si="116"/>
        <v>-67911.199999999983</v>
      </c>
      <c r="I487" s="50">
        <f t="shared" si="117"/>
        <v>-1050896145.2</v>
      </c>
    </row>
    <row r="488" spans="1:9" ht="15" customHeight="1" x14ac:dyDescent="0.2">
      <c r="C488" s="49" t="s">
        <v>178</v>
      </c>
      <c r="D488" s="24"/>
      <c r="E488" s="73"/>
      <c r="F488" s="131">
        <v>30000</v>
      </c>
      <c r="G488" s="140">
        <v>469260000</v>
      </c>
      <c r="H488" s="24"/>
      <c r="I488" s="25"/>
    </row>
    <row r="489" spans="1:9" ht="15" customHeight="1" x14ac:dyDescent="0.2">
      <c r="C489" s="1" t="s">
        <v>226</v>
      </c>
      <c r="D489" s="24"/>
      <c r="E489" s="73"/>
      <c r="F489" s="132">
        <v>24000</v>
      </c>
      <c r="G489" s="140">
        <v>375408000</v>
      </c>
      <c r="H489" s="24"/>
      <c r="I489" s="25"/>
    </row>
    <row r="491" spans="1:9" ht="15" customHeight="1" x14ac:dyDescent="0.2">
      <c r="C491" s="1" t="s">
        <v>9</v>
      </c>
      <c r="H491" s="3">
        <v>-121911.2</v>
      </c>
      <c r="I491" s="4">
        <v>-1895564145.1999979</v>
      </c>
    </row>
    <row r="492" spans="1:9" ht="15" customHeight="1" x14ac:dyDescent="0.2">
      <c r="A492" s="2">
        <v>44966</v>
      </c>
      <c r="C492" s="1" t="s">
        <v>173</v>
      </c>
      <c r="D492" s="14">
        <v>289170.52</v>
      </c>
      <c r="E492" s="32">
        <v>4321942591.9200001</v>
      </c>
      <c r="H492" s="3">
        <f>+H491+D492-F492</f>
        <v>167259.32</v>
      </c>
      <c r="I492" s="4">
        <f>+I491+E492-G492</f>
        <v>2426378446.7200022</v>
      </c>
    </row>
    <row r="493" spans="1:9" ht="15" customHeight="1" x14ac:dyDescent="0.2">
      <c r="A493" s="2">
        <v>44966</v>
      </c>
      <c r="C493" s="49" t="s">
        <v>178</v>
      </c>
      <c r="F493" s="133">
        <v>216869.72</v>
      </c>
      <c r="G493" s="152">
        <v>3279503905.8400002</v>
      </c>
      <c r="H493" s="3">
        <f t="shared" ref="H493:H502" si="118">+H492+D493-F493</f>
        <v>-49610.399999999994</v>
      </c>
      <c r="I493" s="4">
        <f t="shared" ref="I493:I494" si="119">+I492+E493-G493</f>
        <v>-853125459.11999798</v>
      </c>
    </row>
    <row r="494" spans="1:9" ht="15" customHeight="1" x14ac:dyDescent="0.2">
      <c r="A494" s="2">
        <v>44966</v>
      </c>
      <c r="C494" s="1" t="s">
        <v>17</v>
      </c>
      <c r="F494" s="133">
        <v>30</v>
      </c>
      <c r="G494" s="152">
        <v>453660</v>
      </c>
      <c r="H494" s="3">
        <f t="shared" si="118"/>
        <v>-49640.399999999994</v>
      </c>
      <c r="I494" s="4">
        <f t="shared" si="119"/>
        <v>-853579119.11999798</v>
      </c>
    </row>
    <row r="495" spans="1:9" ht="15" customHeight="1" x14ac:dyDescent="0.2">
      <c r="A495" s="2">
        <v>44970</v>
      </c>
      <c r="B495" s="2"/>
      <c r="C495" s="1" t="s">
        <v>190</v>
      </c>
      <c r="D495" s="24"/>
      <c r="E495" s="73"/>
      <c r="F495" s="115">
        <f>104061.4-46996.16-41636.56</f>
        <v>15428.679999999993</v>
      </c>
      <c r="G495" s="140">
        <f>1575489596-711521862.4-630377518.4</f>
        <v>233590215.20000005</v>
      </c>
      <c r="H495" s="3">
        <f t="shared" si="118"/>
        <v>-65069.079999999987</v>
      </c>
      <c r="I495" s="4">
        <f t="shared" ref="I495" si="120">+I494+E495-G495</f>
        <v>-1087169334.319998</v>
      </c>
    </row>
    <row r="496" spans="1:9" ht="15" customHeight="1" x14ac:dyDescent="0.2">
      <c r="A496" s="2">
        <v>44970</v>
      </c>
      <c r="B496" s="2"/>
      <c r="C496" s="1" t="s">
        <v>279</v>
      </c>
      <c r="D496" s="24"/>
      <c r="E496" s="73"/>
      <c r="F496" s="166">
        <v>41636.559999999998</v>
      </c>
      <c r="G496" s="140">
        <v>630377518.39999998</v>
      </c>
      <c r="H496" s="3">
        <f t="shared" ref="H496:H497" si="121">+H495+D496-F496</f>
        <v>-106705.63999999998</v>
      </c>
      <c r="I496" s="4">
        <f t="shared" ref="I496:I497" si="122">+I495+E496-G496</f>
        <v>-1717546852.7199979</v>
      </c>
    </row>
    <row r="497" spans="1:9" ht="15" customHeight="1" x14ac:dyDescent="0.2">
      <c r="A497" s="2">
        <v>44970</v>
      </c>
      <c r="B497" s="2"/>
      <c r="C497" s="2" t="s">
        <v>260</v>
      </c>
      <c r="D497" s="24"/>
      <c r="E497" s="73"/>
      <c r="F497" s="150">
        <v>46996.160000000003</v>
      </c>
      <c r="G497" s="140">
        <v>711521862.39999998</v>
      </c>
      <c r="H497" s="3">
        <f t="shared" si="121"/>
        <v>-153701.79999999999</v>
      </c>
      <c r="I497" s="4">
        <f t="shared" si="122"/>
        <v>-2429068715.119998</v>
      </c>
    </row>
    <row r="498" spans="1:9" ht="15" customHeight="1" x14ac:dyDescent="0.2">
      <c r="A498" s="2">
        <v>44970</v>
      </c>
      <c r="B498" s="2"/>
      <c r="C498" s="1" t="s">
        <v>17</v>
      </c>
      <c r="D498" s="24"/>
      <c r="E498" s="73"/>
      <c r="F498" s="115">
        <v>30</v>
      </c>
      <c r="G498" s="140">
        <v>454200</v>
      </c>
      <c r="H498" s="3">
        <f t="shared" si="118"/>
        <v>-153731.79999999999</v>
      </c>
      <c r="I498" s="4">
        <f t="shared" ref="I498" si="123">+I497+E498-G498</f>
        <v>-2429522915.119998</v>
      </c>
    </row>
    <row r="499" spans="1:9" ht="15" customHeight="1" x14ac:dyDescent="0.2">
      <c r="A499" s="2">
        <v>44985</v>
      </c>
      <c r="C499" s="1" t="s">
        <v>18</v>
      </c>
      <c r="E499" s="32">
        <v>77103982.319999993</v>
      </c>
      <c r="H499" s="6">
        <f t="shared" si="118"/>
        <v>-153731.79999999999</v>
      </c>
      <c r="I499" s="7">
        <f>+I498+E499-G499</f>
        <v>-2352418932.7999978</v>
      </c>
    </row>
    <row r="500" spans="1:9" ht="15" customHeight="1" x14ac:dyDescent="0.2">
      <c r="A500" s="2">
        <v>45012</v>
      </c>
      <c r="C500" s="1" t="s">
        <v>205</v>
      </c>
      <c r="D500" s="18">
        <v>139948.91</v>
      </c>
      <c r="E500" s="32">
        <v>2152554184.71</v>
      </c>
      <c r="H500" s="3">
        <f t="shared" si="118"/>
        <v>-13782.889999999985</v>
      </c>
      <c r="I500" s="4">
        <f t="shared" ref="I500:I502" si="124">+I499+E500-G500</f>
        <v>-199864748.08999777</v>
      </c>
    </row>
    <row r="501" spans="1:9" ht="15" customHeight="1" x14ac:dyDescent="0.2">
      <c r="A501" s="2">
        <v>45015</v>
      </c>
      <c r="C501" s="1" t="s">
        <v>226</v>
      </c>
      <c r="F501" s="121">
        <v>115918.91</v>
      </c>
      <c r="G501" s="152">
        <v>1749680027.54</v>
      </c>
      <c r="H501" s="3">
        <f t="shared" si="118"/>
        <v>-129701.79999999999</v>
      </c>
      <c r="I501" s="4">
        <f t="shared" si="124"/>
        <v>-1949544775.6299977</v>
      </c>
    </row>
    <row r="502" spans="1:9" ht="15" customHeight="1" x14ac:dyDescent="0.2">
      <c r="A502" s="2">
        <v>45015</v>
      </c>
      <c r="C502" s="1" t="s">
        <v>17</v>
      </c>
      <c r="F502" s="121">
        <v>30</v>
      </c>
      <c r="G502" s="152">
        <v>452820</v>
      </c>
      <c r="H502" s="3">
        <f t="shared" si="118"/>
        <v>-129731.79999999999</v>
      </c>
      <c r="I502" s="4">
        <f t="shared" si="124"/>
        <v>-1949997595.6299977</v>
      </c>
    </row>
    <row r="503" spans="1:9" ht="15" customHeight="1" x14ac:dyDescent="0.2">
      <c r="A503" s="2">
        <v>45016</v>
      </c>
      <c r="C503" s="1" t="s">
        <v>18</v>
      </c>
      <c r="G503" s="152">
        <v>27013337.170000002</v>
      </c>
      <c r="H503" s="6">
        <f t="shared" ref="H503" si="125">+H502+D503-F503</f>
        <v>-129731.79999999999</v>
      </c>
      <c r="I503" s="7">
        <f t="shared" ref="I503:I504" si="126">+I502+E503-G503</f>
        <v>-1977010932.7999978</v>
      </c>
    </row>
    <row r="504" spans="1:9" ht="15" customHeight="1" x14ac:dyDescent="0.2">
      <c r="A504" s="2">
        <v>45070</v>
      </c>
      <c r="C504" s="1" t="s">
        <v>252</v>
      </c>
      <c r="D504" s="16">
        <v>358495.08</v>
      </c>
      <c r="E504" s="32">
        <v>5326878393.7200003</v>
      </c>
      <c r="H504" s="3">
        <f t="shared" ref="H504:H509" si="127">+H503+D504-F504</f>
        <v>228763.28000000003</v>
      </c>
      <c r="I504" s="4">
        <f t="shared" si="126"/>
        <v>3349867460.9200025</v>
      </c>
    </row>
    <row r="505" spans="1:9" ht="15" customHeight="1" x14ac:dyDescent="0.2">
      <c r="A505" s="2">
        <v>45076</v>
      </c>
      <c r="C505" s="1" t="s">
        <v>260</v>
      </c>
      <c r="F505" s="16">
        <v>142899.26</v>
      </c>
      <c r="G505" s="32">
        <v>2139630619.98</v>
      </c>
      <c r="H505" s="3">
        <f t="shared" si="127"/>
        <v>85864.020000000019</v>
      </c>
      <c r="I505" s="4">
        <f t="shared" ref="I505:I508" si="128">+I504+E505-G505</f>
        <v>1210236840.9400024</v>
      </c>
    </row>
    <row r="506" spans="1:9" ht="15" customHeight="1" x14ac:dyDescent="0.2">
      <c r="A506" s="2">
        <v>45076</v>
      </c>
      <c r="C506" s="1" t="s">
        <v>17</v>
      </c>
      <c r="F506" s="16">
        <v>30</v>
      </c>
      <c r="G506" s="32">
        <v>449190</v>
      </c>
      <c r="H506" s="3">
        <f t="shared" si="127"/>
        <v>85834.020000000019</v>
      </c>
      <c r="I506" s="4">
        <f t="shared" si="128"/>
        <v>1209787650.9400024</v>
      </c>
    </row>
    <row r="507" spans="1:9" ht="15" customHeight="1" x14ac:dyDescent="0.2">
      <c r="A507" s="2">
        <v>45076</v>
      </c>
      <c r="C507" s="1" t="s">
        <v>260</v>
      </c>
      <c r="F507" s="16">
        <v>142899.26</v>
      </c>
      <c r="G507" s="32">
        <v>2139630619.98</v>
      </c>
      <c r="H507" s="3">
        <f t="shared" si="127"/>
        <v>-57065.239999999991</v>
      </c>
      <c r="I507" s="4">
        <f t="shared" si="128"/>
        <v>-929842969.03999758</v>
      </c>
    </row>
    <row r="508" spans="1:9" ht="15" customHeight="1" x14ac:dyDescent="0.2">
      <c r="A508" s="2">
        <v>45076</v>
      </c>
      <c r="C508" s="1" t="s">
        <v>17</v>
      </c>
      <c r="F508" s="16">
        <v>30</v>
      </c>
      <c r="G508" s="32">
        <v>449190</v>
      </c>
      <c r="H508" s="3">
        <f t="shared" si="127"/>
        <v>-57095.239999999991</v>
      </c>
      <c r="I508" s="4">
        <f t="shared" si="128"/>
        <v>-930292159.03999758</v>
      </c>
    </row>
    <row r="509" spans="1:9" ht="15" customHeight="1" x14ac:dyDescent="0.2">
      <c r="A509" s="2">
        <v>45077</v>
      </c>
      <c r="C509" s="1" t="s">
        <v>18</v>
      </c>
      <c r="E509" s="32">
        <v>65870225.439999998</v>
      </c>
      <c r="H509" s="6">
        <f t="shared" si="127"/>
        <v>-57095.239999999991</v>
      </c>
      <c r="I509" s="7">
        <f t="shared" ref="I509" si="129">+I508+E509-G509</f>
        <v>-864421933.59999752</v>
      </c>
    </row>
    <row r="510" spans="1:9" ht="15" customHeight="1" x14ac:dyDescent="0.2">
      <c r="A510" s="2">
        <v>45085</v>
      </c>
      <c r="B510" s="2"/>
      <c r="C510" s="1" t="s">
        <v>304</v>
      </c>
      <c r="D510" s="66">
        <v>218676.04</v>
      </c>
      <c r="E510" s="32">
        <v>3276204431.2800002</v>
      </c>
      <c r="H510" s="3">
        <f t="shared" ref="H510:I513" si="130">+H509+D510-F510</f>
        <v>161580.80000000002</v>
      </c>
      <c r="I510" s="4">
        <f t="shared" si="130"/>
        <v>2411782497.6800027</v>
      </c>
    </row>
    <row r="511" spans="1:9" ht="15" customHeight="1" x14ac:dyDescent="0.2">
      <c r="A511" s="2">
        <v>45085</v>
      </c>
      <c r="C511" s="1" t="s">
        <v>279</v>
      </c>
      <c r="F511" s="66">
        <v>177009.48</v>
      </c>
      <c r="G511" s="32">
        <v>2633017785.0900002</v>
      </c>
      <c r="H511" s="3">
        <f t="shared" si="130"/>
        <v>-15428.679999999993</v>
      </c>
      <c r="I511" s="4">
        <f t="shared" si="130"/>
        <v>-221235287.40999746</v>
      </c>
    </row>
    <row r="512" spans="1:9" ht="15" customHeight="1" x14ac:dyDescent="0.2">
      <c r="A512" s="2">
        <v>45085</v>
      </c>
      <c r="C512" s="1" t="s">
        <v>17</v>
      </c>
      <c r="F512" s="66">
        <v>30</v>
      </c>
      <c r="G512" s="32">
        <v>446250.3</v>
      </c>
      <c r="H512" s="3">
        <f t="shared" si="130"/>
        <v>-15458.679999999993</v>
      </c>
      <c r="I512" s="4">
        <f t="shared" si="130"/>
        <v>-221681537.70999748</v>
      </c>
    </row>
    <row r="513" spans="1:11" ht="15" customHeight="1" x14ac:dyDescent="0.2">
      <c r="A513" s="2">
        <v>45107</v>
      </c>
      <c r="C513" s="1" t="s">
        <v>18</v>
      </c>
      <c r="G513" s="152">
        <v>12362877.49</v>
      </c>
      <c r="H513" s="3">
        <f t="shared" si="130"/>
        <v>-15458.679999999993</v>
      </c>
      <c r="I513" s="4">
        <f t="shared" si="130"/>
        <v>-234044415.19999748</v>
      </c>
    </row>
    <row r="514" spans="1:11" ht="15" customHeight="1" x14ac:dyDescent="0.2">
      <c r="A514" s="2">
        <v>45291</v>
      </c>
      <c r="C514" s="1" t="s">
        <v>461</v>
      </c>
      <c r="D514" s="3">
        <v>15458.68</v>
      </c>
      <c r="E514" s="32">
        <v>234044415.19999999</v>
      </c>
      <c r="F514" s="3"/>
      <c r="G514" s="32"/>
      <c r="H514" s="6">
        <f t="shared" ref="H514" si="131">+H513+D514-F514</f>
        <v>7.2759576141834259E-12</v>
      </c>
      <c r="I514" s="7">
        <f t="shared" ref="I514" si="132">+I513+E514-G514</f>
        <v>2.5033950805664063E-6</v>
      </c>
      <c r="J514" s="4">
        <v>0</v>
      </c>
      <c r="K514" s="4">
        <v>0</v>
      </c>
    </row>
    <row r="518" spans="1:11" ht="15" customHeight="1" x14ac:dyDescent="0.2">
      <c r="A518" s="5" t="s">
        <v>0</v>
      </c>
    </row>
    <row r="519" spans="1:11" ht="15" customHeight="1" x14ac:dyDescent="0.2">
      <c r="A519" s="5" t="s">
        <v>11</v>
      </c>
    </row>
    <row r="520" spans="1:11" ht="15" customHeight="1" x14ac:dyDescent="0.2">
      <c r="A520" s="5" t="s">
        <v>209</v>
      </c>
    </row>
    <row r="521" spans="1:11" ht="15" customHeight="1" x14ac:dyDescent="0.2">
      <c r="A521" s="5" t="s">
        <v>160</v>
      </c>
    </row>
    <row r="523" spans="1:11" ht="15" customHeight="1" x14ac:dyDescent="0.2">
      <c r="A523" s="9" t="s">
        <v>3</v>
      </c>
      <c r="B523" s="8" t="s">
        <v>4</v>
      </c>
      <c r="C523" s="8" t="s">
        <v>5</v>
      </c>
      <c r="D523" s="233" t="s">
        <v>6</v>
      </c>
      <c r="E523" s="233"/>
      <c r="F523" s="233" t="s">
        <v>7</v>
      </c>
      <c r="G523" s="233"/>
      <c r="H523" s="233" t="s">
        <v>8</v>
      </c>
      <c r="I523" s="233"/>
    </row>
    <row r="524" spans="1:11" ht="15" customHeight="1" x14ac:dyDescent="0.2">
      <c r="A524" s="10"/>
      <c r="B524" s="11"/>
      <c r="C524" s="11" t="s">
        <v>9</v>
      </c>
      <c r="D524" s="12"/>
      <c r="E524" s="184"/>
      <c r="F524" s="104"/>
      <c r="G524" s="180"/>
      <c r="H524" s="12">
        <v>0</v>
      </c>
      <c r="I524" s="13">
        <v>0</v>
      </c>
    </row>
    <row r="525" spans="1:11" ht="15" customHeight="1" x14ac:dyDescent="0.2">
      <c r="A525" s="2">
        <v>44995</v>
      </c>
      <c r="C525" s="1" t="s">
        <v>210</v>
      </c>
      <c r="F525" s="103">
        <v>59282.31</v>
      </c>
      <c r="G525" s="152">
        <v>915200301.77999997</v>
      </c>
      <c r="H525" s="3">
        <f t="shared" ref="H525:I527" si="133">+H524+D525-F525</f>
        <v>-59282.31</v>
      </c>
      <c r="I525" s="4">
        <f t="shared" si="133"/>
        <v>-915200301.77999997</v>
      </c>
    </row>
    <row r="526" spans="1:11" ht="15" customHeight="1" x14ac:dyDescent="0.2">
      <c r="A526" s="2">
        <v>44995</v>
      </c>
      <c r="C526" s="1" t="s">
        <v>17</v>
      </c>
      <c r="F526" s="103">
        <v>41</v>
      </c>
      <c r="G526" s="152">
        <v>632958</v>
      </c>
      <c r="H526" s="6">
        <f t="shared" si="133"/>
        <v>-59323.31</v>
      </c>
      <c r="I526" s="7">
        <f t="shared" si="133"/>
        <v>-915833259.77999997</v>
      </c>
    </row>
    <row r="527" spans="1:11" ht="15" customHeight="1" x14ac:dyDescent="0.2">
      <c r="A527" s="2">
        <v>45027</v>
      </c>
      <c r="C527" s="1" t="s">
        <v>236</v>
      </c>
      <c r="D527" s="3">
        <v>76241.31</v>
      </c>
      <c r="E527" s="32">
        <v>1149642713.49</v>
      </c>
      <c r="H527" s="6">
        <f t="shared" si="133"/>
        <v>16918</v>
      </c>
      <c r="I527" s="7">
        <f t="shared" si="133"/>
        <v>233809453.71000004</v>
      </c>
      <c r="J527" s="4">
        <v>16918</v>
      </c>
      <c r="K527" s="4">
        <v>233809453.71000004</v>
      </c>
    </row>
    <row r="531" spans="1:9" ht="15" customHeight="1" x14ac:dyDescent="0.2">
      <c r="A531" s="5" t="s">
        <v>0</v>
      </c>
    </row>
    <row r="532" spans="1:9" ht="15" customHeight="1" x14ac:dyDescent="0.2">
      <c r="A532" s="5" t="s">
        <v>15</v>
      </c>
    </row>
    <row r="533" spans="1:9" ht="15" customHeight="1" x14ac:dyDescent="0.2">
      <c r="A533" s="5" t="s">
        <v>194</v>
      </c>
    </row>
    <row r="534" spans="1:9" ht="15" customHeight="1" x14ac:dyDescent="0.2">
      <c r="A534" s="5" t="s">
        <v>160</v>
      </c>
    </row>
    <row r="536" spans="1:9" ht="15" customHeight="1" x14ac:dyDescent="0.2">
      <c r="A536" s="9" t="s">
        <v>3</v>
      </c>
      <c r="B536" s="82" t="s">
        <v>4</v>
      </c>
      <c r="C536" s="8" t="s">
        <v>5</v>
      </c>
      <c r="D536" s="234" t="s">
        <v>6</v>
      </c>
      <c r="E536" s="233"/>
      <c r="F536" s="234" t="s">
        <v>7</v>
      </c>
      <c r="G536" s="233"/>
      <c r="H536" s="233" t="s">
        <v>8</v>
      </c>
      <c r="I536" s="233"/>
    </row>
    <row r="537" spans="1:9" ht="15" customHeight="1" x14ac:dyDescent="0.2">
      <c r="A537" s="10"/>
      <c r="B537" s="83"/>
      <c r="C537" s="11" t="s">
        <v>9</v>
      </c>
      <c r="D537" s="85"/>
      <c r="E537" s="187"/>
      <c r="F537" s="124"/>
      <c r="G537" s="181"/>
      <c r="H537" s="85">
        <v>0</v>
      </c>
      <c r="I537" s="88">
        <v>0</v>
      </c>
    </row>
    <row r="538" spans="1:9" ht="15" customHeight="1" x14ac:dyDescent="0.2">
      <c r="A538" s="2">
        <v>44960</v>
      </c>
      <c r="C538" s="1" t="s">
        <v>195</v>
      </c>
      <c r="F538" s="160">
        <v>19637</v>
      </c>
      <c r="G538" s="152">
        <v>291962916</v>
      </c>
      <c r="H538" s="3">
        <f>+H537+D538-F538</f>
        <v>-19637</v>
      </c>
      <c r="I538" s="4">
        <f>+I537+E538-G538</f>
        <v>-291962916</v>
      </c>
    </row>
    <row r="539" spans="1:9" ht="15" customHeight="1" x14ac:dyDescent="0.2">
      <c r="A539" s="2">
        <v>44960</v>
      </c>
      <c r="C539" s="1" t="s">
        <v>17</v>
      </c>
      <c r="F539" s="160">
        <v>37</v>
      </c>
      <c r="G539" s="152">
        <v>550116</v>
      </c>
      <c r="H539" s="6">
        <f>+H538+D539-F539</f>
        <v>-19674</v>
      </c>
      <c r="I539" s="7">
        <f>+I538+E539-G539</f>
        <v>-292513032</v>
      </c>
    </row>
    <row r="540" spans="1:9" ht="15" customHeight="1" x14ac:dyDescent="0.2">
      <c r="A540" s="2">
        <v>45034</v>
      </c>
      <c r="C540" s="1" t="s">
        <v>243</v>
      </c>
      <c r="F540" s="160">
        <v>46717.36</v>
      </c>
      <c r="G540" s="152">
        <v>690155559.27999997</v>
      </c>
      <c r="H540" s="3">
        <f t="shared" ref="H540:H545" si="134">+H539+D540-F540</f>
        <v>-66391.360000000001</v>
      </c>
      <c r="I540" s="4">
        <f t="shared" ref="I540:I541" si="135">+I539+E540-G540</f>
        <v>-982668591.27999997</v>
      </c>
    </row>
    <row r="541" spans="1:9" ht="15" customHeight="1" x14ac:dyDescent="0.2">
      <c r="A541" s="2">
        <v>45034</v>
      </c>
      <c r="C541" s="1" t="s">
        <v>17</v>
      </c>
      <c r="F541" s="160">
        <v>17</v>
      </c>
      <c r="G541" s="152">
        <v>251141</v>
      </c>
      <c r="H541" s="6">
        <f t="shared" si="134"/>
        <v>-66408.36</v>
      </c>
      <c r="I541" s="7">
        <f t="shared" si="135"/>
        <v>-982919732.27999997</v>
      </c>
    </row>
    <row r="542" spans="1:9" ht="15" customHeight="1" x14ac:dyDescent="0.2">
      <c r="A542" s="2">
        <v>45048</v>
      </c>
      <c r="C542" s="1" t="s">
        <v>253</v>
      </c>
      <c r="D542" s="16">
        <v>66408.36</v>
      </c>
      <c r="E542" s="32">
        <v>984437528.63999999</v>
      </c>
      <c r="H542" s="3">
        <f t="shared" si="134"/>
        <v>0</v>
      </c>
      <c r="I542" s="4">
        <f t="shared" ref="I542" si="136">+I541+E542-G542</f>
        <v>1517796.3600000143</v>
      </c>
    </row>
    <row r="543" spans="1:9" ht="15" customHeight="1" x14ac:dyDescent="0.2">
      <c r="A543" s="2">
        <v>45077</v>
      </c>
      <c r="C543" s="1" t="s">
        <v>18</v>
      </c>
      <c r="G543" s="152">
        <v>1517796.36</v>
      </c>
      <c r="H543" s="3">
        <f t="shared" si="134"/>
        <v>0</v>
      </c>
      <c r="I543" s="4">
        <f t="shared" ref="I543" si="137">+I542+E543-G543</f>
        <v>1.4202669262886047E-8</v>
      </c>
    </row>
    <row r="544" spans="1:9" ht="15" customHeight="1" x14ac:dyDescent="0.2">
      <c r="A544" s="2">
        <v>45090</v>
      </c>
      <c r="B544" s="2"/>
      <c r="C544" s="1" t="s">
        <v>353</v>
      </c>
      <c r="D544" s="17"/>
      <c r="F544" s="200">
        <v>18331</v>
      </c>
      <c r="G544" s="73">
        <v>272655294</v>
      </c>
      <c r="H544" s="3">
        <f t="shared" si="134"/>
        <v>-18331</v>
      </c>
      <c r="I544" s="4">
        <f t="shared" ref="I544:I549" si="138">+I543+E544-G544</f>
        <v>-272655294</v>
      </c>
    </row>
    <row r="545" spans="1:11" ht="15" customHeight="1" x14ac:dyDescent="0.2">
      <c r="A545" s="2">
        <v>45090</v>
      </c>
      <c r="B545" s="2"/>
      <c r="C545" s="1" t="s">
        <v>17</v>
      </c>
      <c r="D545" s="17"/>
      <c r="F545" s="200">
        <v>17</v>
      </c>
      <c r="G545" s="73">
        <v>252858</v>
      </c>
      <c r="H545" s="6">
        <f t="shared" si="134"/>
        <v>-18348</v>
      </c>
      <c r="I545" s="7">
        <f t="shared" si="138"/>
        <v>-272908152</v>
      </c>
    </row>
    <row r="546" spans="1:11" ht="15" customHeight="1" x14ac:dyDescent="0.2">
      <c r="A546" s="2">
        <v>45113</v>
      </c>
      <c r="B546" s="2"/>
      <c r="C546" s="1" t="s">
        <v>389</v>
      </c>
      <c r="D546" s="17"/>
      <c r="E546" s="4"/>
      <c r="F546" s="154">
        <v>18331</v>
      </c>
      <c r="G546" s="25">
        <v>275203303</v>
      </c>
      <c r="H546" s="3">
        <f t="shared" ref="H546:H555" si="139">+H545+D546-F546</f>
        <v>-36679</v>
      </c>
      <c r="I546" s="4">
        <f t="shared" si="138"/>
        <v>-548111455</v>
      </c>
    </row>
    <row r="547" spans="1:11" ht="15" customHeight="1" x14ac:dyDescent="0.2">
      <c r="A547" s="2">
        <v>45113</v>
      </c>
      <c r="B547" s="2"/>
      <c r="C547" s="1" t="s">
        <v>17</v>
      </c>
      <c r="D547" s="17"/>
      <c r="E547" s="4"/>
      <c r="F547" s="154">
        <v>17</v>
      </c>
      <c r="G547" s="25">
        <v>255221</v>
      </c>
      <c r="H547" s="3">
        <f t="shared" si="139"/>
        <v>-36696</v>
      </c>
      <c r="I547" s="4">
        <f t="shared" si="138"/>
        <v>-548366676</v>
      </c>
    </row>
    <row r="548" spans="1:11" ht="15" customHeight="1" x14ac:dyDescent="0.2">
      <c r="A548" s="2">
        <v>45134</v>
      </c>
      <c r="B548" s="2"/>
      <c r="C548" s="1" t="s">
        <v>331</v>
      </c>
      <c r="F548" s="199">
        <v>46191.86</v>
      </c>
      <c r="G548" s="32">
        <v>694356039.51999998</v>
      </c>
      <c r="H548" s="3">
        <f t="shared" si="139"/>
        <v>-82887.86</v>
      </c>
      <c r="I548" s="4">
        <f t="shared" si="138"/>
        <v>-1242722715.52</v>
      </c>
    </row>
    <row r="549" spans="1:11" ht="15" customHeight="1" x14ac:dyDescent="0.2">
      <c r="A549" s="2">
        <v>45134</v>
      </c>
      <c r="B549" s="2"/>
      <c r="C549" s="1" t="s">
        <v>17</v>
      </c>
      <c r="F549" s="199">
        <v>17</v>
      </c>
      <c r="G549" s="32">
        <v>255544</v>
      </c>
      <c r="H549" s="6">
        <f t="shared" si="139"/>
        <v>-82904.86</v>
      </c>
      <c r="I549" s="7">
        <f t="shared" si="138"/>
        <v>-1242978259.52</v>
      </c>
    </row>
    <row r="550" spans="1:11" ht="15" customHeight="1" x14ac:dyDescent="0.2">
      <c r="A550" s="2">
        <v>45145</v>
      </c>
      <c r="C550" s="1" t="s">
        <v>363</v>
      </c>
      <c r="D550" s="199">
        <v>65256.86</v>
      </c>
      <c r="E550" s="4">
        <v>980875862.65999997</v>
      </c>
      <c r="H550" s="3">
        <f t="shared" si="139"/>
        <v>-17648</v>
      </c>
      <c r="I550" s="4">
        <f t="shared" ref="I550:I555" si="140">+I549+E550-G550</f>
        <v>-262102396.86000001</v>
      </c>
    </row>
    <row r="551" spans="1:11" ht="15" customHeight="1" x14ac:dyDescent="0.2">
      <c r="A551" s="2">
        <v>45146</v>
      </c>
      <c r="B551" s="2"/>
      <c r="C551" s="1" t="s">
        <v>353</v>
      </c>
      <c r="F551" s="199">
        <f>773-90</f>
        <v>683</v>
      </c>
      <c r="G551" s="32">
        <f>11732594-1366020</f>
        <v>10366574</v>
      </c>
      <c r="H551" s="3">
        <f t="shared" si="139"/>
        <v>-18331</v>
      </c>
      <c r="I551" s="4">
        <f t="shared" si="140"/>
        <v>-272468970.86000001</v>
      </c>
    </row>
    <row r="552" spans="1:11" ht="15" customHeight="1" x14ac:dyDescent="0.2">
      <c r="A552" s="2">
        <v>45146</v>
      </c>
      <c r="B552" s="2"/>
      <c r="C552" s="1" t="s">
        <v>364</v>
      </c>
      <c r="F552" s="71">
        <v>90</v>
      </c>
      <c r="G552" s="32">
        <v>1366020</v>
      </c>
      <c r="H552" s="3">
        <f t="shared" si="139"/>
        <v>-18421</v>
      </c>
      <c r="I552" s="4">
        <f t="shared" si="140"/>
        <v>-273834990.86000001</v>
      </c>
    </row>
    <row r="553" spans="1:11" ht="15" customHeight="1" x14ac:dyDescent="0.2">
      <c r="A553" s="2">
        <v>45146</v>
      </c>
      <c r="B553" s="2"/>
      <c r="C553" s="1" t="s">
        <v>17</v>
      </c>
      <c r="F553" s="199">
        <v>17</v>
      </c>
      <c r="G553" s="32">
        <v>258026</v>
      </c>
      <c r="H553" s="6">
        <f t="shared" si="139"/>
        <v>-18438</v>
      </c>
      <c r="I553" s="7">
        <f t="shared" si="140"/>
        <v>-274093016.86000001</v>
      </c>
    </row>
    <row r="554" spans="1:11" ht="15" customHeight="1" x14ac:dyDescent="0.2">
      <c r="A554" s="2">
        <v>45153</v>
      </c>
      <c r="B554" s="2"/>
      <c r="C554" s="1" t="s">
        <v>383</v>
      </c>
      <c r="D554" s="17"/>
      <c r="F554" s="190">
        <v>17815</v>
      </c>
      <c r="G554" s="25">
        <v>272979245</v>
      </c>
      <c r="H554" s="3">
        <f t="shared" si="139"/>
        <v>-36253</v>
      </c>
      <c r="I554" s="4">
        <f t="shared" si="140"/>
        <v>-547072261.86000001</v>
      </c>
    </row>
    <row r="555" spans="1:11" ht="15" customHeight="1" x14ac:dyDescent="0.2">
      <c r="A555" s="2">
        <v>45153</v>
      </c>
      <c r="B555" s="2"/>
      <c r="C555" s="1" t="s">
        <v>17</v>
      </c>
      <c r="D555" s="17"/>
      <c r="F555" s="190">
        <v>17</v>
      </c>
      <c r="G555" s="25">
        <v>260491</v>
      </c>
      <c r="H555" s="3">
        <f t="shared" si="139"/>
        <v>-36270</v>
      </c>
      <c r="I555" s="4">
        <f t="shared" si="140"/>
        <v>-547332752.86000001</v>
      </c>
    </row>
    <row r="556" spans="1:11" ht="15" customHeight="1" x14ac:dyDescent="0.2">
      <c r="A556" s="2">
        <v>45169</v>
      </c>
      <c r="C556" s="1" t="s">
        <v>18</v>
      </c>
      <c r="G556" s="152">
        <v>2731527.14</v>
      </c>
      <c r="H556" s="6">
        <f t="shared" ref="H556" si="141">+H555+D556-F556</f>
        <v>-36270</v>
      </c>
      <c r="I556" s="7">
        <f t="shared" ref="I556" si="142">+I555+E556-G556</f>
        <v>-550064280</v>
      </c>
    </row>
    <row r="557" spans="1:11" ht="15" customHeight="1" x14ac:dyDescent="0.2">
      <c r="A557" s="2">
        <v>45176</v>
      </c>
      <c r="B557" s="2"/>
      <c r="C557" s="1" t="s">
        <v>389</v>
      </c>
      <c r="D557" s="24"/>
      <c r="E557" s="73"/>
      <c r="F557" s="154">
        <v>45110.41</v>
      </c>
      <c r="G557" s="73">
        <v>690505045.87</v>
      </c>
      <c r="H557" s="3">
        <f t="shared" ref="H557:I563" si="143">+H556+D557-F557</f>
        <v>-81380.41</v>
      </c>
      <c r="I557" s="4">
        <f t="shared" si="143"/>
        <v>-1240569325.8699999</v>
      </c>
    </row>
    <row r="558" spans="1:11" ht="15" customHeight="1" x14ac:dyDescent="0.2">
      <c r="A558" s="2">
        <v>45176</v>
      </c>
      <c r="B558" s="2"/>
      <c r="C558" s="1" t="s">
        <v>17</v>
      </c>
      <c r="F558" s="71">
        <v>17</v>
      </c>
      <c r="G558" s="32">
        <v>260219</v>
      </c>
      <c r="H558" s="3">
        <f t="shared" si="143"/>
        <v>-81397.41</v>
      </c>
      <c r="I558" s="4">
        <f t="shared" si="143"/>
        <v>-1240829544.8699999</v>
      </c>
    </row>
    <row r="559" spans="1:11" ht="15" customHeight="1" x14ac:dyDescent="0.2">
      <c r="A559" s="2">
        <v>45180</v>
      </c>
      <c r="B559" s="2"/>
      <c r="C559" s="1" t="s">
        <v>388</v>
      </c>
      <c r="D559" s="71">
        <v>63565.41</v>
      </c>
      <c r="E559" s="32">
        <v>969817460.37</v>
      </c>
      <c r="F559" s="3"/>
      <c r="G559" s="32"/>
      <c r="H559" s="3">
        <f t="shared" si="143"/>
        <v>-17832</v>
      </c>
      <c r="I559" s="4">
        <f t="shared" si="143"/>
        <v>-271012084.49999988</v>
      </c>
      <c r="J559" s="1"/>
      <c r="K559" s="1"/>
    </row>
    <row r="560" spans="1:11" ht="15" customHeight="1" x14ac:dyDescent="0.2">
      <c r="A560" s="2">
        <v>45196</v>
      </c>
      <c r="C560" s="1" t="s">
        <v>420</v>
      </c>
      <c r="D560" s="17"/>
      <c r="F560" s="16">
        <v>17287</v>
      </c>
      <c r="G560" s="32">
        <v>267326168</v>
      </c>
      <c r="H560" s="3">
        <f t="shared" si="143"/>
        <v>-35119</v>
      </c>
      <c r="I560" s="4">
        <f t="shared" si="143"/>
        <v>-538338252.49999988</v>
      </c>
    </row>
    <row r="561" spans="1:11" ht="15" customHeight="1" x14ac:dyDescent="0.2">
      <c r="A561" s="2">
        <v>45196</v>
      </c>
      <c r="C561" s="1" t="s">
        <v>17</v>
      </c>
      <c r="D561" s="17"/>
      <c r="F561" s="16">
        <v>17</v>
      </c>
      <c r="G561" s="32">
        <v>262888</v>
      </c>
      <c r="H561" s="3">
        <f t="shared" si="143"/>
        <v>-35136</v>
      </c>
      <c r="I561" s="4">
        <f t="shared" si="143"/>
        <v>-538601140.49999988</v>
      </c>
    </row>
    <row r="562" spans="1:11" ht="15" customHeight="1" x14ac:dyDescent="0.2">
      <c r="A562" s="2">
        <v>45198</v>
      </c>
      <c r="C562" s="1" t="s">
        <v>451</v>
      </c>
      <c r="D562" s="17"/>
      <c r="F562" s="71">
        <v>18206.2</v>
      </c>
      <c r="G562" s="32">
        <v>282669461.19999999</v>
      </c>
      <c r="H562" s="3">
        <f t="shared" si="143"/>
        <v>-53342.2</v>
      </c>
      <c r="I562" s="4">
        <f t="shared" si="143"/>
        <v>-821270601.69999981</v>
      </c>
    </row>
    <row r="563" spans="1:11" ht="15" customHeight="1" x14ac:dyDescent="0.2">
      <c r="A563" s="2">
        <v>45198</v>
      </c>
      <c r="C563" s="1" t="s">
        <v>17</v>
      </c>
      <c r="D563" s="17"/>
      <c r="F563" s="71">
        <v>17</v>
      </c>
      <c r="G563" s="32">
        <v>263942</v>
      </c>
      <c r="H563" s="3">
        <f t="shared" si="143"/>
        <v>-53359.199999999997</v>
      </c>
      <c r="I563" s="4">
        <f t="shared" si="143"/>
        <v>-821534543.69999981</v>
      </c>
    </row>
    <row r="564" spans="1:11" ht="15" customHeight="1" x14ac:dyDescent="0.2">
      <c r="A564" s="2">
        <v>45199</v>
      </c>
      <c r="C564" s="1" t="s">
        <v>18</v>
      </c>
      <c r="G564" s="152">
        <v>2227651.5</v>
      </c>
      <c r="H564" s="6">
        <f t="shared" ref="H564" si="144">+H563+D564-F564</f>
        <v>-53359.199999999997</v>
      </c>
      <c r="I564" s="7">
        <f t="shared" ref="I564" si="145">+I563+E564-G564</f>
        <v>-823762195.19999981</v>
      </c>
    </row>
    <row r="565" spans="1:11" ht="15" customHeight="1" x14ac:dyDescent="0.2">
      <c r="A565" s="217">
        <v>45206</v>
      </c>
      <c r="B565" s="217"/>
      <c r="C565" s="40" t="s">
        <v>409</v>
      </c>
      <c r="D565" s="178"/>
      <c r="E565" s="211"/>
      <c r="F565" s="220">
        <v>46380.15</v>
      </c>
      <c r="G565" s="211">
        <v>723576720.14999998</v>
      </c>
      <c r="H565" s="3">
        <f t="shared" ref="H565" si="146">+H564+D565-F565</f>
        <v>-99739.35</v>
      </c>
      <c r="I565" s="4">
        <f t="shared" ref="I565" si="147">+I564+E565-G565</f>
        <v>-1547338915.3499999</v>
      </c>
      <c r="J565" s="1"/>
      <c r="K565" s="1"/>
    </row>
    <row r="566" spans="1:11" ht="15" customHeight="1" x14ac:dyDescent="0.2">
      <c r="A566" s="217">
        <v>45206</v>
      </c>
      <c r="B566" s="217"/>
      <c r="C566" s="40" t="s">
        <v>17</v>
      </c>
      <c r="D566" s="178"/>
      <c r="E566" s="211"/>
      <c r="F566" s="220">
        <v>17</v>
      </c>
      <c r="G566" s="211">
        <v>265217</v>
      </c>
      <c r="H566" s="3">
        <f t="shared" ref="H566:H567" si="148">+H565+D566-F566</f>
        <v>-99756.35</v>
      </c>
      <c r="I566" s="4">
        <f t="shared" ref="I566:I567" si="149">+I565+E566-G566</f>
        <v>-1547604132.3499999</v>
      </c>
      <c r="J566" s="1"/>
      <c r="K566" s="1"/>
    </row>
    <row r="567" spans="1:11" ht="15" customHeight="1" x14ac:dyDescent="0.2">
      <c r="A567" s="2">
        <v>45210</v>
      </c>
      <c r="C567" s="1" t="s">
        <v>406</v>
      </c>
      <c r="D567" s="66">
        <v>64229.15</v>
      </c>
      <c r="E567" s="32">
        <v>1001782052.5500001</v>
      </c>
      <c r="H567" s="3">
        <f t="shared" si="148"/>
        <v>-35527.200000000004</v>
      </c>
      <c r="I567" s="4">
        <f t="shared" si="149"/>
        <v>-545822079.79999983</v>
      </c>
    </row>
    <row r="568" spans="1:11" ht="15" customHeight="1" x14ac:dyDescent="0.2">
      <c r="A568" s="2">
        <v>45230</v>
      </c>
      <c r="C568" s="1" t="s">
        <v>18</v>
      </c>
      <c r="G568" s="152">
        <v>4700379.4000000004</v>
      </c>
      <c r="H568" s="6">
        <f t="shared" ref="H568" si="150">+H567+D568-F568</f>
        <v>-35527.200000000004</v>
      </c>
      <c r="I568" s="7">
        <f t="shared" ref="I568" si="151">+I567+E568-G568</f>
        <v>-550522459.19999981</v>
      </c>
    </row>
    <row r="569" spans="1:11" ht="15" customHeight="1" x14ac:dyDescent="0.2">
      <c r="A569" s="2">
        <v>45254</v>
      </c>
      <c r="B569" s="2"/>
      <c r="C569" s="1" t="s">
        <v>428</v>
      </c>
      <c r="D569" s="16">
        <v>65383.86</v>
      </c>
      <c r="E569" s="32">
        <v>1020184367.58</v>
      </c>
      <c r="H569" s="3">
        <f t="shared" ref="H569" si="152">+H568+D569-F569</f>
        <v>29856.659999999996</v>
      </c>
      <c r="I569" s="4">
        <f t="shared" ref="I569" si="153">+I568+E569-G569</f>
        <v>469661908.38000023</v>
      </c>
    </row>
    <row r="570" spans="1:11" ht="15" customHeight="1" x14ac:dyDescent="0.2">
      <c r="A570" s="2">
        <v>45252</v>
      </c>
      <c r="B570" s="2"/>
      <c r="C570" s="1" t="s">
        <v>420</v>
      </c>
      <c r="F570" s="16">
        <v>48062.86</v>
      </c>
      <c r="G570" s="32">
        <v>741898306.96000004</v>
      </c>
      <c r="H570" s="3">
        <f t="shared" ref="H570:H571" si="154">+H569+D570-F570</f>
        <v>-18206.200000000004</v>
      </c>
      <c r="I570" s="4">
        <f t="shared" ref="I570:I571" si="155">+I569+E570-G570</f>
        <v>-272236398.5799998</v>
      </c>
    </row>
    <row r="571" spans="1:11" ht="15" customHeight="1" x14ac:dyDescent="0.2">
      <c r="A571" s="2">
        <v>45252</v>
      </c>
      <c r="B571" s="2"/>
      <c r="C571" s="1" t="s">
        <v>17</v>
      </c>
      <c r="F571" s="16">
        <v>17</v>
      </c>
      <c r="G571" s="32">
        <v>262412</v>
      </c>
      <c r="H571" s="3">
        <f t="shared" si="154"/>
        <v>-18223.200000000004</v>
      </c>
      <c r="I571" s="4">
        <f t="shared" si="155"/>
        <v>-272498810.5799998</v>
      </c>
    </row>
    <row r="572" spans="1:11" ht="15" customHeight="1" x14ac:dyDescent="0.2">
      <c r="A572" s="2">
        <v>45260</v>
      </c>
      <c r="C572" s="1" t="s">
        <v>18</v>
      </c>
      <c r="G572" s="152">
        <v>10434592.619999999</v>
      </c>
      <c r="H572" s="6">
        <f t="shared" ref="H572" si="156">+H571+D572-F572</f>
        <v>-18223.200000000004</v>
      </c>
      <c r="I572" s="7">
        <f t="shared" ref="I572" si="157">+I571+E572-G572</f>
        <v>-282933403.19999981</v>
      </c>
    </row>
    <row r="573" spans="1:11" ht="15" customHeight="1" x14ac:dyDescent="0.2">
      <c r="A573" s="2">
        <v>45281</v>
      </c>
      <c r="B573" s="2"/>
      <c r="C573" s="1" t="s">
        <v>447</v>
      </c>
      <c r="D573" s="71">
        <v>66280.240000000005</v>
      </c>
      <c r="E573" s="32">
        <v>1032248457.76</v>
      </c>
      <c r="H573" s="3">
        <f t="shared" ref="H573:I576" si="158">+H572+D573-F573</f>
        <v>48057.04</v>
      </c>
      <c r="I573" s="4">
        <f t="shared" si="158"/>
        <v>749315054.56000018</v>
      </c>
    </row>
    <row r="574" spans="1:11" ht="15" customHeight="1" x14ac:dyDescent="0.2">
      <c r="A574" s="2">
        <v>45280</v>
      </c>
      <c r="B574" s="2"/>
      <c r="C574" s="1" t="s">
        <v>451</v>
      </c>
      <c r="F574" s="71">
        <v>48052.04</v>
      </c>
      <c r="G574" s="32">
        <v>745094932.24000001</v>
      </c>
      <c r="H574" s="3">
        <f t="shared" si="158"/>
        <v>5</v>
      </c>
      <c r="I574" s="4">
        <f t="shared" si="158"/>
        <v>4220122.3200001717</v>
      </c>
    </row>
    <row r="575" spans="1:11" ht="15" customHeight="1" x14ac:dyDescent="0.2">
      <c r="A575" s="2">
        <v>45280</v>
      </c>
      <c r="B575" s="2"/>
      <c r="C575" s="1" t="s">
        <v>17</v>
      </c>
      <c r="F575" s="71">
        <v>5</v>
      </c>
      <c r="G575" s="32">
        <v>77530</v>
      </c>
      <c r="H575" s="3">
        <f t="shared" si="158"/>
        <v>0</v>
      </c>
      <c r="I575" s="4">
        <f t="shared" si="158"/>
        <v>4142592.3200001717</v>
      </c>
    </row>
    <row r="576" spans="1:11" ht="15" customHeight="1" x14ac:dyDescent="0.2">
      <c r="A576" s="2">
        <v>45291</v>
      </c>
      <c r="C576" s="1" t="s">
        <v>18</v>
      </c>
      <c r="G576" s="152">
        <v>4142592.32</v>
      </c>
      <c r="H576" s="3">
        <f t="shared" si="158"/>
        <v>0</v>
      </c>
      <c r="I576" s="4">
        <f t="shared" si="158"/>
        <v>1.7182901501655579E-7</v>
      </c>
      <c r="J576" s="4">
        <v>0</v>
      </c>
      <c r="K576" s="4">
        <v>0</v>
      </c>
    </row>
    <row r="604" spans="1:1" ht="15" customHeight="1" x14ac:dyDescent="0.2">
      <c r="A604" s="5" t="s">
        <v>0</v>
      </c>
    </row>
    <row r="605" spans="1:1" ht="15" customHeight="1" x14ac:dyDescent="0.2">
      <c r="A605" s="5" t="s">
        <v>15</v>
      </c>
    </row>
    <row r="606" spans="1:1" ht="15" customHeight="1" x14ac:dyDescent="0.2">
      <c r="A606" s="5" t="s">
        <v>55</v>
      </c>
    </row>
    <row r="607" spans="1:1" ht="15" customHeight="1" x14ac:dyDescent="0.2">
      <c r="A607" s="5" t="s">
        <v>160</v>
      </c>
    </row>
    <row r="609" spans="1:9" ht="15" customHeight="1" x14ac:dyDescent="0.2">
      <c r="A609" s="9" t="s">
        <v>3</v>
      </c>
      <c r="B609" s="82" t="s">
        <v>4</v>
      </c>
      <c r="C609" s="8" t="s">
        <v>5</v>
      </c>
      <c r="D609" s="234" t="s">
        <v>6</v>
      </c>
      <c r="E609" s="233"/>
      <c r="F609" s="234" t="s">
        <v>7</v>
      </c>
      <c r="G609" s="233"/>
      <c r="H609" s="233" t="s">
        <v>8</v>
      </c>
      <c r="I609" s="233"/>
    </row>
    <row r="610" spans="1:9" ht="15" customHeight="1" x14ac:dyDescent="0.2">
      <c r="A610" s="10"/>
      <c r="B610" s="83"/>
      <c r="C610" s="11" t="s">
        <v>9</v>
      </c>
      <c r="D610" s="85"/>
      <c r="E610" s="187"/>
      <c r="F610" s="124"/>
      <c r="G610" s="181"/>
      <c r="H610" s="85">
        <v>0</v>
      </c>
      <c r="I610" s="88">
        <v>0</v>
      </c>
    </row>
    <row r="611" spans="1:9" ht="15" customHeight="1" x14ac:dyDescent="0.2">
      <c r="A611" s="48">
        <v>44804</v>
      </c>
      <c r="B611" s="76"/>
      <c r="C611" s="49" t="s">
        <v>261</v>
      </c>
      <c r="D611" s="78"/>
      <c r="E611" s="186"/>
      <c r="F611" s="165">
        <f>82489-49526.4</f>
        <v>32962.6</v>
      </c>
      <c r="G611" s="182">
        <v>490319004.62599999</v>
      </c>
      <c r="H611" s="78" t="e">
        <f>+#REF!+D611-F611</f>
        <v>#REF!</v>
      </c>
      <c r="I611" s="79" t="e">
        <f>+#REF!+E611-G611</f>
        <v>#REF!</v>
      </c>
    </row>
    <row r="612" spans="1:9" ht="15" customHeight="1" x14ac:dyDescent="0.2">
      <c r="A612" s="48">
        <v>44804</v>
      </c>
      <c r="B612" s="76"/>
      <c r="C612" s="49" t="s">
        <v>17</v>
      </c>
      <c r="D612" s="78"/>
      <c r="E612" s="186"/>
      <c r="F612" s="165">
        <v>55</v>
      </c>
      <c r="G612" s="182">
        <v>818125.55</v>
      </c>
      <c r="H612" s="78" t="e">
        <f>+#REF!+D612-F612</f>
        <v>#REF!</v>
      </c>
      <c r="I612" s="79" t="e">
        <f>+#REF!+E612-G612</f>
        <v>#REF!</v>
      </c>
    </row>
    <row r="615" spans="1:9" ht="15" customHeight="1" x14ac:dyDescent="0.2">
      <c r="C615" s="1" t="s">
        <v>9</v>
      </c>
      <c r="H615" s="3">
        <v>-33017.599999999977</v>
      </c>
      <c r="I615" s="4">
        <v>-491137130.17600012</v>
      </c>
    </row>
    <row r="616" spans="1:9" ht="15" customHeight="1" x14ac:dyDescent="0.2">
      <c r="A616" s="2">
        <v>45030</v>
      </c>
      <c r="C616" s="1" t="s">
        <v>241</v>
      </c>
      <c r="F616" s="160">
        <v>128766.51</v>
      </c>
      <c r="G616" s="152">
        <v>1904714215.9200001</v>
      </c>
      <c r="H616" s="3">
        <f t="shared" ref="H616:I618" si="159">+H615+D616-F616</f>
        <v>-161784.10999999999</v>
      </c>
      <c r="I616" s="4">
        <f t="shared" si="159"/>
        <v>-2395851346.0960002</v>
      </c>
    </row>
    <row r="617" spans="1:9" ht="15" customHeight="1" x14ac:dyDescent="0.2">
      <c r="A617" s="2">
        <v>45030</v>
      </c>
      <c r="C617" s="1" t="s">
        <v>17</v>
      </c>
      <c r="F617" s="160">
        <v>82</v>
      </c>
      <c r="G617" s="152">
        <v>1212944</v>
      </c>
      <c r="H617" s="6">
        <f t="shared" si="159"/>
        <v>-161866.10999999999</v>
      </c>
      <c r="I617" s="7">
        <f t="shared" si="159"/>
        <v>-2397064290.0960002</v>
      </c>
    </row>
    <row r="618" spans="1:9" ht="15" customHeight="1" x14ac:dyDescent="0.2">
      <c r="A618" s="2">
        <v>45065</v>
      </c>
      <c r="C618" s="1" t="s">
        <v>254</v>
      </c>
      <c r="D618" s="16">
        <v>161866.10999999999</v>
      </c>
      <c r="E618" s="32">
        <v>2385582729.1799998</v>
      </c>
      <c r="H618" s="3">
        <f t="shared" si="159"/>
        <v>0</v>
      </c>
      <c r="I618" s="4">
        <f t="shared" si="159"/>
        <v>-11481560.916000366</v>
      </c>
    </row>
    <row r="619" spans="1:9" ht="15" customHeight="1" x14ac:dyDescent="0.2">
      <c r="A619" s="2">
        <v>45077</v>
      </c>
      <c r="C619" s="1" t="s">
        <v>18</v>
      </c>
      <c r="E619" s="32">
        <v>11481560.92</v>
      </c>
      <c r="H619" s="3">
        <f t="shared" ref="H619:H624" si="160">+H618+D619-F619</f>
        <v>0</v>
      </c>
      <c r="I619" s="4">
        <f t="shared" ref="I619" si="161">+I618+E619-G619</f>
        <v>3.999633714556694E-3</v>
      </c>
    </row>
    <row r="620" spans="1:9" ht="15" customHeight="1" x14ac:dyDescent="0.2">
      <c r="A620" s="2">
        <v>45085</v>
      </c>
      <c r="B620" s="2"/>
      <c r="C620" s="1" t="s">
        <v>294</v>
      </c>
      <c r="D620" s="17"/>
      <c r="F620" s="197">
        <v>21627</v>
      </c>
      <c r="G620" s="73">
        <v>321701841.26999998</v>
      </c>
      <c r="H620" s="3">
        <f t="shared" si="160"/>
        <v>-21627</v>
      </c>
      <c r="I620" s="4">
        <f t="shared" ref="I620" si="162">+I619+E620-G620</f>
        <v>-321701841.26600033</v>
      </c>
    </row>
    <row r="621" spans="1:9" ht="15" customHeight="1" x14ac:dyDescent="0.2">
      <c r="A621" s="2">
        <v>45085</v>
      </c>
      <c r="B621" s="2"/>
      <c r="C621" s="1" t="s">
        <v>17</v>
      </c>
      <c r="D621" s="17"/>
      <c r="F621" s="197">
        <v>51</v>
      </c>
      <c r="G621" s="73">
        <v>758625.51</v>
      </c>
      <c r="H621" s="6">
        <f t="shared" si="160"/>
        <v>-21678</v>
      </c>
      <c r="I621" s="7">
        <f t="shared" ref="I621" si="163">+I620+E621-G621</f>
        <v>-322460466.77600032</v>
      </c>
    </row>
    <row r="622" spans="1:9" ht="15" customHeight="1" x14ac:dyDescent="0.2">
      <c r="A622" s="2">
        <v>45118</v>
      </c>
      <c r="B622" s="2"/>
      <c r="C622" s="1" t="s">
        <v>322</v>
      </c>
      <c r="F622" s="196">
        <v>48706.22</v>
      </c>
      <c r="G622" s="32">
        <v>739944894.24000001</v>
      </c>
      <c r="H622" s="3">
        <f t="shared" si="160"/>
        <v>-70384.22</v>
      </c>
      <c r="I622" s="4">
        <f>+I621+E622-G622</f>
        <v>-1062405361.0160003</v>
      </c>
    </row>
    <row r="623" spans="1:9" ht="15" customHeight="1" x14ac:dyDescent="0.2">
      <c r="A623" s="2">
        <v>45118</v>
      </c>
      <c r="B623" s="2"/>
      <c r="C623" s="1" t="s">
        <v>17</v>
      </c>
      <c r="F623" s="196">
        <v>51</v>
      </c>
      <c r="G623" s="32">
        <v>774792</v>
      </c>
      <c r="H623" s="3">
        <f t="shared" si="160"/>
        <v>-70435.22</v>
      </c>
      <c r="I623" s="4">
        <f>+I622+E623-G623</f>
        <v>-1063180153.0160003</v>
      </c>
    </row>
    <row r="624" spans="1:9" ht="15" customHeight="1" x14ac:dyDescent="0.2">
      <c r="A624" s="2">
        <v>45128</v>
      </c>
      <c r="B624" s="2"/>
      <c r="C624" s="1" t="s">
        <v>342</v>
      </c>
      <c r="D624" s="196">
        <v>70435.22</v>
      </c>
      <c r="E624" s="32">
        <v>1061670071.0599999</v>
      </c>
      <c r="H624" s="3">
        <f t="shared" si="160"/>
        <v>0</v>
      </c>
      <c r="I624" s="4">
        <f>+I623+E624-G624</f>
        <v>-1510081.9560003281</v>
      </c>
    </row>
    <row r="625" spans="1:11" ht="15" customHeight="1" x14ac:dyDescent="0.2">
      <c r="A625" s="2">
        <v>45138</v>
      </c>
      <c r="C625" s="1" t="s">
        <v>18</v>
      </c>
      <c r="E625" s="32">
        <v>1510081.96</v>
      </c>
      <c r="H625" s="3">
        <f t="shared" ref="H625" si="164">+H624+D625-F625</f>
        <v>0</v>
      </c>
      <c r="I625" s="4">
        <f>+I624+E625-G625</f>
        <v>3.9996718987822533E-3</v>
      </c>
      <c r="J625" s="4">
        <v>0</v>
      </c>
      <c r="K625" s="4">
        <v>0</v>
      </c>
    </row>
    <row r="631" spans="1:11" ht="15" customHeight="1" x14ac:dyDescent="0.2">
      <c r="A631" s="5" t="s">
        <v>0</v>
      </c>
    </row>
    <row r="632" spans="1:11" ht="15" customHeight="1" x14ac:dyDescent="0.2">
      <c r="A632" s="5" t="s">
        <v>15</v>
      </c>
    </row>
    <row r="633" spans="1:11" ht="15" customHeight="1" x14ac:dyDescent="0.2">
      <c r="A633" s="5" t="s">
        <v>20</v>
      </c>
    </row>
    <row r="634" spans="1:11" ht="15" customHeight="1" x14ac:dyDescent="0.2">
      <c r="A634" s="5" t="s">
        <v>160</v>
      </c>
    </row>
    <row r="636" spans="1:11" ht="15" customHeight="1" x14ac:dyDescent="0.2">
      <c r="A636" s="9" t="s">
        <v>3</v>
      </c>
      <c r="B636" s="8" t="s">
        <v>4</v>
      </c>
      <c r="C636" s="8" t="s">
        <v>5</v>
      </c>
      <c r="D636" s="233" t="s">
        <v>6</v>
      </c>
      <c r="E636" s="233"/>
      <c r="F636" s="233" t="s">
        <v>7</v>
      </c>
      <c r="G636" s="233"/>
      <c r="H636" s="233" t="s">
        <v>8</v>
      </c>
      <c r="I636" s="233"/>
    </row>
    <row r="637" spans="1:11" ht="15" customHeight="1" x14ac:dyDescent="0.2">
      <c r="A637" s="10"/>
      <c r="B637" s="11"/>
      <c r="C637" s="11" t="s">
        <v>9</v>
      </c>
      <c r="D637" s="12"/>
      <c r="E637" s="184"/>
      <c r="F637" s="104"/>
      <c r="G637" s="180"/>
      <c r="H637" s="12">
        <v>0</v>
      </c>
      <c r="I637" s="13">
        <v>0</v>
      </c>
    </row>
    <row r="638" spans="1:11" ht="15" customHeight="1" x14ac:dyDescent="0.2">
      <c r="A638" s="48">
        <v>44582</v>
      </c>
      <c r="B638" s="49"/>
      <c r="C638" s="49" t="s">
        <v>130</v>
      </c>
      <c r="D638" s="51"/>
      <c r="E638" s="55"/>
      <c r="F638" s="120">
        <v>14958</v>
      </c>
      <c r="G638" s="138">
        <v>214707132</v>
      </c>
      <c r="H638" s="51">
        <f>+H637+D638-F638</f>
        <v>-14958</v>
      </c>
      <c r="I638" s="50">
        <f>+I637+E638-G638</f>
        <v>-214707132</v>
      </c>
    </row>
    <row r="639" spans="1:11" ht="15" customHeight="1" x14ac:dyDescent="0.2">
      <c r="A639" s="48">
        <v>44582</v>
      </c>
      <c r="B639" s="49"/>
      <c r="C639" s="49" t="s">
        <v>17</v>
      </c>
      <c r="D639" s="51"/>
      <c r="E639" s="55"/>
      <c r="F639" s="120">
        <v>42</v>
      </c>
      <c r="G639" s="138">
        <v>602868</v>
      </c>
      <c r="H639" s="52">
        <f>+H638+D639-F639</f>
        <v>-15000</v>
      </c>
      <c r="I639" s="53">
        <f>+I638+E639-G639</f>
        <v>-215310000</v>
      </c>
    </row>
    <row r="640" spans="1:11" ht="15" customHeight="1" x14ac:dyDescent="0.2">
      <c r="A640" s="48">
        <v>44628</v>
      </c>
      <c r="B640" s="49"/>
      <c r="C640" s="49" t="s">
        <v>131</v>
      </c>
      <c r="D640" s="51"/>
      <c r="E640" s="55"/>
      <c r="F640" s="120">
        <v>114958</v>
      </c>
      <c r="G640" s="138">
        <v>1656660887.5799999</v>
      </c>
      <c r="H640" s="51">
        <f t="shared" ref="H640:H642" si="165">+H639+D640-F640</f>
        <v>-129958</v>
      </c>
      <c r="I640" s="50">
        <f t="shared" ref="I640:I642" si="166">+I639+E640-G640</f>
        <v>-1871970887.5799999</v>
      </c>
    </row>
    <row r="641" spans="1:11" ht="15" customHeight="1" x14ac:dyDescent="0.2">
      <c r="A641" s="48">
        <v>44628</v>
      </c>
      <c r="B641" s="49"/>
      <c r="C641" s="49" t="s">
        <v>17</v>
      </c>
      <c r="D641" s="51"/>
      <c r="E641" s="55"/>
      <c r="F641" s="120">
        <v>42</v>
      </c>
      <c r="G641" s="138">
        <v>605262.42000000004</v>
      </c>
      <c r="H641" s="51">
        <f t="shared" si="165"/>
        <v>-130000</v>
      </c>
      <c r="I641" s="50">
        <f t="shared" si="166"/>
        <v>-1872576150</v>
      </c>
    </row>
    <row r="642" spans="1:11" ht="15" customHeight="1" x14ac:dyDescent="0.2">
      <c r="A642" s="48">
        <v>44634</v>
      </c>
      <c r="B642" s="49"/>
      <c r="C642" s="49" t="s">
        <v>33</v>
      </c>
      <c r="D642" s="51">
        <v>77241.45</v>
      </c>
      <c r="E642" s="55">
        <v>1109882395.05</v>
      </c>
      <c r="F642" s="120"/>
      <c r="G642" s="138"/>
      <c r="H642" s="52">
        <f t="shared" si="165"/>
        <v>-52758.55</v>
      </c>
      <c r="I642" s="53">
        <f t="shared" si="166"/>
        <v>-762693754.95000005</v>
      </c>
    </row>
    <row r="643" spans="1:11" ht="15" customHeight="1" x14ac:dyDescent="0.2">
      <c r="A643" s="48">
        <v>44659</v>
      </c>
      <c r="B643" s="49"/>
      <c r="C643" s="49" t="s">
        <v>42</v>
      </c>
      <c r="D643" s="51">
        <v>76427.070000000007</v>
      </c>
      <c r="E643" s="55">
        <v>1097416298.1300001</v>
      </c>
      <c r="F643" s="120"/>
      <c r="G643" s="138"/>
      <c r="H643" s="51">
        <f t="shared" ref="H643:H644" si="167">+H642+D643-F643</f>
        <v>23668.520000000004</v>
      </c>
      <c r="I643" s="50">
        <f t="shared" ref="I643:I644" si="168">+I642+E643-G643</f>
        <v>334722543.18000007</v>
      </c>
    </row>
    <row r="644" spans="1:11" ht="15" customHeight="1" x14ac:dyDescent="0.2">
      <c r="A644" s="48">
        <v>44676</v>
      </c>
      <c r="B644" s="49"/>
      <c r="C644" s="49" t="s">
        <v>131</v>
      </c>
      <c r="D644" s="51"/>
      <c r="E644" s="55"/>
      <c r="F644" s="120">
        <v>33626.519999999997</v>
      </c>
      <c r="G644" s="138">
        <v>482910789.98000002</v>
      </c>
      <c r="H644" s="51">
        <f t="shared" si="167"/>
        <v>-9957.9999999999927</v>
      </c>
      <c r="I644" s="50">
        <f t="shared" si="168"/>
        <v>-148188246.79999995</v>
      </c>
    </row>
    <row r="645" spans="1:11" ht="15" customHeight="1" x14ac:dyDescent="0.2">
      <c r="A645" s="48">
        <v>44676</v>
      </c>
      <c r="B645" s="49"/>
      <c r="C645" s="49" t="s">
        <v>17</v>
      </c>
      <c r="D645" s="51"/>
      <c r="E645" s="55"/>
      <c r="F645" s="120">
        <v>42</v>
      </c>
      <c r="G645" s="138">
        <v>603162.42000000004</v>
      </c>
      <c r="H645" s="51">
        <f t="shared" ref="H645:H646" si="169">+H644+D645-F645</f>
        <v>-9999.9999999999927</v>
      </c>
      <c r="I645" s="50">
        <f t="shared" ref="I645:I646" si="170">+I644+E645-G645</f>
        <v>-148791409.21999994</v>
      </c>
    </row>
    <row r="646" spans="1:11" ht="15" customHeight="1" x14ac:dyDescent="0.2">
      <c r="A646" s="56">
        <v>44681</v>
      </c>
      <c r="B646" s="57"/>
      <c r="C646" s="57" t="s">
        <v>18</v>
      </c>
      <c r="D646" s="58"/>
      <c r="E646" s="188">
        <v>5251409.22</v>
      </c>
      <c r="F646" s="134"/>
      <c r="G646" s="183"/>
      <c r="H646" s="58">
        <f t="shared" si="169"/>
        <v>-9999.9999999999927</v>
      </c>
      <c r="I646" s="235">
        <f t="shared" si="170"/>
        <v>-143539999.99999994</v>
      </c>
    </row>
    <row r="647" spans="1:11" ht="15" customHeight="1" x14ac:dyDescent="0.2">
      <c r="A647" s="2">
        <v>44932</v>
      </c>
      <c r="C647" s="1" t="s">
        <v>464</v>
      </c>
      <c r="D647" s="3">
        <v>10000</v>
      </c>
      <c r="E647" s="32">
        <v>143540000</v>
      </c>
      <c r="H647" s="59">
        <f t="shared" ref="H647" si="171">+H646+D647-F647</f>
        <v>7.2759576141834259E-12</v>
      </c>
      <c r="I647" s="60">
        <f t="shared" ref="I647" si="172">+I646+E647-G647</f>
        <v>5.9604644775390625E-8</v>
      </c>
      <c r="J647" s="4">
        <v>0</v>
      </c>
      <c r="K647" s="4">
        <v>0</v>
      </c>
    </row>
    <row r="657" spans="1:9" ht="15" customHeight="1" x14ac:dyDescent="0.2">
      <c r="A657" s="5" t="s">
        <v>0</v>
      </c>
    </row>
    <row r="658" spans="1:9" ht="15" customHeight="1" x14ac:dyDescent="0.2">
      <c r="A658" s="5" t="s">
        <v>15</v>
      </c>
    </row>
    <row r="659" spans="1:9" ht="15" customHeight="1" x14ac:dyDescent="0.2">
      <c r="A659" s="5" t="s">
        <v>32</v>
      </c>
    </row>
    <row r="660" spans="1:9" ht="15" customHeight="1" x14ac:dyDescent="0.2">
      <c r="A660" s="5" t="s">
        <v>160</v>
      </c>
    </row>
    <row r="662" spans="1:9" ht="15" customHeight="1" x14ac:dyDescent="0.2">
      <c r="A662" s="9" t="s">
        <v>3</v>
      </c>
      <c r="B662" s="8" t="s">
        <v>4</v>
      </c>
      <c r="C662" s="8" t="s">
        <v>5</v>
      </c>
      <c r="D662" s="233" t="s">
        <v>6</v>
      </c>
      <c r="E662" s="233"/>
      <c r="F662" s="233" t="s">
        <v>7</v>
      </c>
      <c r="G662" s="233"/>
      <c r="H662" s="233" t="s">
        <v>8</v>
      </c>
      <c r="I662" s="233"/>
    </row>
    <row r="663" spans="1:9" ht="15" customHeight="1" x14ac:dyDescent="0.2">
      <c r="A663" s="48">
        <v>44879</v>
      </c>
      <c r="B663" s="49"/>
      <c r="C663" s="49" t="s">
        <v>376</v>
      </c>
      <c r="D663" s="51"/>
      <c r="E663" s="55"/>
      <c r="F663" s="120">
        <f>75018-15172-14772-15172-14772</f>
        <v>15130</v>
      </c>
      <c r="G663" s="138">
        <f>1162253874-235059796-228862596-235059796-228862596</f>
        <v>234409090</v>
      </c>
      <c r="H663" s="51">
        <f>+D663-F663</f>
        <v>-15130</v>
      </c>
      <c r="I663" s="50">
        <f>+E663-G663</f>
        <v>-234409090</v>
      </c>
    </row>
    <row r="664" spans="1:9" ht="15" customHeight="1" x14ac:dyDescent="0.2">
      <c r="A664" s="48">
        <v>44879</v>
      </c>
      <c r="B664" s="49"/>
      <c r="C664" s="49" t="s">
        <v>377</v>
      </c>
      <c r="D664" s="51"/>
      <c r="E664" s="55"/>
      <c r="F664" s="205">
        <v>14772</v>
      </c>
      <c r="G664" s="138">
        <v>228862596</v>
      </c>
      <c r="H664" s="51">
        <f t="shared" ref="H664:I666" si="173">+H663+D664-F664</f>
        <v>-29902</v>
      </c>
      <c r="I664" s="50">
        <f t="shared" si="173"/>
        <v>-463271686</v>
      </c>
    </row>
    <row r="665" spans="1:9" ht="15" customHeight="1" x14ac:dyDescent="0.2">
      <c r="A665" s="48">
        <v>44879</v>
      </c>
      <c r="B665" s="49"/>
      <c r="C665" s="49" t="s">
        <v>318</v>
      </c>
      <c r="D665" s="51"/>
      <c r="E665" s="55"/>
      <c r="F665" s="191">
        <v>15172</v>
      </c>
      <c r="G665" s="138">
        <v>235059796</v>
      </c>
      <c r="H665" s="51">
        <f t="shared" si="173"/>
        <v>-45074</v>
      </c>
      <c r="I665" s="50">
        <f t="shared" si="173"/>
        <v>-698331482</v>
      </c>
    </row>
    <row r="666" spans="1:9" ht="15" customHeight="1" x14ac:dyDescent="0.2">
      <c r="A666" s="48">
        <v>44879</v>
      </c>
      <c r="B666" s="49"/>
      <c r="C666" s="49" t="s">
        <v>288</v>
      </c>
      <c r="D666" s="51"/>
      <c r="E666" s="55"/>
      <c r="F666" s="108">
        <v>14772</v>
      </c>
      <c r="G666" s="138">
        <v>228862596</v>
      </c>
      <c r="H666" s="51">
        <f t="shared" si="173"/>
        <v>-59846</v>
      </c>
      <c r="I666" s="50">
        <f t="shared" si="173"/>
        <v>-927194078</v>
      </c>
    </row>
    <row r="667" spans="1:9" ht="15" customHeight="1" x14ac:dyDescent="0.2">
      <c r="A667" s="48">
        <v>44879</v>
      </c>
      <c r="B667" s="49"/>
      <c r="C667" s="49" t="s">
        <v>17</v>
      </c>
      <c r="D667" s="51"/>
      <c r="E667" s="55"/>
      <c r="F667" s="120">
        <v>42</v>
      </c>
      <c r="G667" s="138">
        <v>650706</v>
      </c>
      <c r="H667" s="51">
        <f t="shared" ref="H667:I669" si="174">+H666+D667-F667</f>
        <v>-59888</v>
      </c>
      <c r="I667" s="50">
        <f t="shared" si="174"/>
        <v>-927844784</v>
      </c>
    </row>
    <row r="668" spans="1:9" ht="15" customHeight="1" x14ac:dyDescent="0.2">
      <c r="A668" s="48">
        <v>44901</v>
      </c>
      <c r="B668" s="49"/>
      <c r="C668" s="49" t="s">
        <v>207</v>
      </c>
      <c r="D668" s="51"/>
      <c r="E668" s="55"/>
      <c r="F668" s="123">
        <f>14772-10.5</f>
        <v>14761.5</v>
      </c>
      <c r="G668" s="138">
        <v>227459953.5</v>
      </c>
      <c r="H668" s="51">
        <f t="shared" si="174"/>
        <v>-74649.5</v>
      </c>
      <c r="I668" s="50">
        <f t="shared" si="174"/>
        <v>-1155304737.5</v>
      </c>
    </row>
    <row r="669" spans="1:9" ht="15" customHeight="1" x14ac:dyDescent="0.2">
      <c r="A669" s="48"/>
      <c r="B669" s="49"/>
      <c r="C669" s="49" t="s">
        <v>17</v>
      </c>
      <c r="D669" s="51"/>
      <c r="E669" s="55"/>
      <c r="F669" s="123">
        <v>10.5</v>
      </c>
      <c r="G669" s="138">
        <v>161794.5</v>
      </c>
      <c r="H669" s="51">
        <f t="shared" si="174"/>
        <v>-74660</v>
      </c>
      <c r="I669" s="50">
        <f t="shared" si="174"/>
        <v>-1155466532</v>
      </c>
    </row>
    <row r="670" spans="1:9" ht="15" customHeight="1" x14ac:dyDescent="0.2">
      <c r="A670" s="48">
        <v>44901</v>
      </c>
      <c r="B670" s="49"/>
      <c r="C670" s="1" t="s">
        <v>228</v>
      </c>
      <c r="D670" s="51"/>
      <c r="E670" s="55"/>
      <c r="F670" s="123">
        <f t="shared" ref="F670:F674" si="175">14772-10.5</f>
        <v>14761.5</v>
      </c>
      <c r="G670" s="138">
        <v>227459953.5</v>
      </c>
      <c r="H670" s="51">
        <f t="shared" ref="H670:H671" si="176">+H669+D670-F670</f>
        <v>-89421.5</v>
      </c>
      <c r="I670" s="50">
        <f t="shared" ref="I670:I672" si="177">+I669+E670-G670</f>
        <v>-1382926485.5</v>
      </c>
    </row>
    <row r="671" spans="1:9" ht="15" customHeight="1" x14ac:dyDescent="0.2">
      <c r="A671" s="48"/>
      <c r="B671" s="76"/>
      <c r="C671" s="49" t="s">
        <v>17</v>
      </c>
      <c r="D671" s="78"/>
      <c r="E671" s="186"/>
      <c r="F671" s="135">
        <v>10.5</v>
      </c>
      <c r="G671" s="182">
        <v>161794.5</v>
      </c>
      <c r="H671" s="51">
        <f t="shared" si="176"/>
        <v>-89432</v>
      </c>
      <c r="I671" s="50">
        <f t="shared" si="177"/>
        <v>-1383088280</v>
      </c>
    </row>
    <row r="672" spans="1:9" ht="15" customHeight="1" x14ac:dyDescent="0.2">
      <c r="A672" s="48">
        <v>44901</v>
      </c>
      <c r="B672" s="76"/>
      <c r="C672" s="49" t="s">
        <v>282</v>
      </c>
      <c r="D672" s="78"/>
      <c r="E672" s="186"/>
      <c r="F672" s="165">
        <f>14772-10.5</f>
        <v>14761.5</v>
      </c>
      <c r="G672" s="182">
        <v>227459953.5</v>
      </c>
      <c r="H672" s="51">
        <f>+H671+D672-F672</f>
        <v>-104193.5</v>
      </c>
      <c r="I672" s="50">
        <f t="shared" si="177"/>
        <v>-1610548233.5</v>
      </c>
    </row>
    <row r="673" spans="1:9" ht="15" customHeight="1" x14ac:dyDescent="0.2">
      <c r="A673" s="48"/>
      <c r="B673" s="76"/>
      <c r="C673" s="49" t="s">
        <v>17</v>
      </c>
      <c r="D673" s="78"/>
      <c r="E673" s="186"/>
      <c r="F673" s="165">
        <v>10.5</v>
      </c>
      <c r="G673" s="182">
        <v>161794.5</v>
      </c>
      <c r="H673" s="51">
        <f>+H672+D673-F673</f>
        <v>-104204</v>
      </c>
      <c r="I673" s="50">
        <f t="shared" ref="I673:I674" si="178">+I672+E673-G673</f>
        <v>-1610710028</v>
      </c>
    </row>
    <row r="674" spans="1:9" ht="15" customHeight="1" x14ac:dyDescent="0.2">
      <c r="A674" s="48">
        <v>44901</v>
      </c>
      <c r="B674" s="76"/>
      <c r="C674" s="49" t="s">
        <v>355</v>
      </c>
      <c r="D674" s="78"/>
      <c r="E674" s="186"/>
      <c r="F674" s="129">
        <f t="shared" si="175"/>
        <v>14761.5</v>
      </c>
      <c r="G674" s="182">
        <v>227459953.5</v>
      </c>
      <c r="H674" s="51">
        <f>+H673+D674-F674</f>
        <v>-118965.5</v>
      </c>
      <c r="I674" s="50">
        <f t="shared" si="178"/>
        <v>-1838169981.5</v>
      </c>
    </row>
    <row r="675" spans="1:9" ht="15" customHeight="1" x14ac:dyDescent="0.2">
      <c r="A675" s="77">
        <v>44901</v>
      </c>
      <c r="C675" s="76" t="s">
        <v>17</v>
      </c>
      <c r="D675" s="78"/>
      <c r="E675" s="186"/>
      <c r="F675" s="129">
        <f>42-10.5-10.5-10.5</f>
        <v>10.5</v>
      </c>
      <c r="G675" s="182">
        <f>647178-161794.5-161794.5-161794.5</f>
        <v>161794.5</v>
      </c>
      <c r="H675" s="51">
        <f t="shared" ref="H675" si="179">+H674+D675-F675</f>
        <v>-118976</v>
      </c>
      <c r="I675" s="50">
        <f t="shared" ref="I675" si="180">+I674+E675-G675</f>
        <v>-1838331776</v>
      </c>
    </row>
    <row r="676" spans="1:9" ht="15" customHeight="1" x14ac:dyDescent="0.2">
      <c r="A676" s="77"/>
      <c r="C676" s="76"/>
      <c r="D676" s="78"/>
      <c r="E676" s="186"/>
      <c r="F676" s="127"/>
      <c r="G676" s="182">
        <f>+G675/F675</f>
        <v>15409</v>
      </c>
      <c r="H676" s="80"/>
      <c r="I676" s="81"/>
    </row>
    <row r="677" spans="1:9" ht="15" customHeight="1" x14ac:dyDescent="0.2">
      <c r="A677" s="77"/>
      <c r="C677" s="76" t="s">
        <v>9</v>
      </c>
      <c r="D677" s="78"/>
      <c r="E677" s="186"/>
      <c r="F677" s="127"/>
      <c r="G677" s="182"/>
      <c r="H677" s="78">
        <v>-178708</v>
      </c>
      <c r="I677" s="79">
        <v>-2768349332</v>
      </c>
    </row>
    <row r="678" spans="1:9" ht="15" customHeight="1" x14ac:dyDescent="0.2">
      <c r="A678" s="77">
        <v>44929</v>
      </c>
      <c r="C678" s="76" t="s">
        <v>385</v>
      </c>
      <c r="D678" s="78"/>
      <c r="E678" s="186"/>
      <c r="F678" s="216">
        <f>44674-15172-14772</f>
        <v>14730</v>
      </c>
      <c r="G678" s="182">
        <f>695663528-236258384-230029584</f>
        <v>229375560</v>
      </c>
      <c r="H678" s="78">
        <f t="shared" ref="H678:I683" si="181">+H677+D678-F678</f>
        <v>-193438</v>
      </c>
      <c r="I678" s="79">
        <f t="shared" si="181"/>
        <v>-2997724892</v>
      </c>
    </row>
    <row r="679" spans="1:9" ht="15" customHeight="1" x14ac:dyDescent="0.2">
      <c r="A679" s="77">
        <v>44929</v>
      </c>
      <c r="C679" s="1" t="s">
        <v>320</v>
      </c>
      <c r="D679" s="78"/>
      <c r="E679" s="186"/>
      <c r="F679" s="192">
        <v>14772</v>
      </c>
      <c r="G679" s="182">
        <v>230029584</v>
      </c>
      <c r="H679" s="78">
        <f t="shared" si="181"/>
        <v>-208210</v>
      </c>
      <c r="I679" s="79">
        <f t="shared" si="181"/>
        <v>-3227754476</v>
      </c>
    </row>
    <row r="680" spans="1:9" ht="15" customHeight="1" x14ac:dyDescent="0.2">
      <c r="A680" s="77">
        <v>44929</v>
      </c>
      <c r="C680" s="1" t="s">
        <v>319</v>
      </c>
      <c r="D680" s="78"/>
      <c r="E680" s="186"/>
      <c r="F680" s="192">
        <v>15172</v>
      </c>
      <c r="G680" s="182">
        <v>236258384</v>
      </c>
      <c r="H680" s="78">
        <f t="shared" si="181"/>
        <v>-223382</v>
      </c>
      <c r="I680" s="79">
        <f t="shared" si="181"/>
        <v>-3464012860</v>
      </c>
    </row>
    <row r="681" spans="1:9" ht="15" customHeight="1" x14ac:dyDescent="0.2">
      <c r="A681" s="77">
        <v>44929</v>
      </c>
      <c r="C681" s="76" t="s">
        <v>385</v>
      </c>
      <c r="D681" s="78"/>
      <c r="E681" s="186"/>
      <c r="F681" s="216">
        <v>42</v>
      </c>
      <c r="G681" s="182">
        <v>654024</v>
      </c>
      <c r="H681" s="78">
        <f t="shared" si="181"/>
        <v>-223424</v>
      </c>
      <c r="I681" s="79">
        <f t="shared" si="181"/>
        <v>-3464666884</v>
      </c>
    </row>
    <row r="682" spans="1:9" ht="15" customHeight="1" x14ac:dyDescent="0.2">
      <c r="A682" s="77">
        <v>44937</v>
      </c>
      <c r="C682" s="76" t="s">
        <v>154</v>
      </c>
      <c r="D682" s="78"/>
      <c r="E682" s="186"/>
      <c r="F682" s="127">
        <v>16891</v>
      </c>
      <c r="G682" s="182">
        <v>263313799</v>
      </c>
      <c r="H682" s="78">
        <f t="shared" si="181"/>
        <v>-240315</v>
      </c>
      <c r="I682" s="79">
        <f t="shared" si="181"/>
        <v>-3727980683</v>
      </c>
    </row>
    <row r="683" spans="1:9" ht="15" customHeight="1" x14ac:dyDescent="0.2">
      <c r="A683" s="77">
        <v>44937</v>
      </c>
      <c r="C683" s="76" t="s">
        <v>17</v>
      </c>
      <c r="D683" s="78"/>
      <c r="E683" s="186"/>
      <c r="F683" s="127">
        <v>27</v>
      </c>
      <c r="G683" s="182">
        <v>420903</v>
      </c>
      <c r="H683" s="78">
        <f t="shared" si="181"/>
        <v>-240342</v>
      </c>
      <c r="I683" s="79">
        <f t="shared" si="181"/>
        <v>-3728401586</v>
      </c>
    </row>
    <row r="684" spans="1:9" ht="15" customHeight="1" x14ac:dyDescent="0.2">
      <c r="A684" s="77">
        <v>44943</v>
      </c>
      <c r="B684" s="2"/>
      <c r="C684" s="76" t="s">
        <v>142</v>
      </c>
      <c r="D684" s="78"/>
      <c r="E684" s="186"/>
      <c r="F684" s="136">
        <v>58006.55</v>
      </c>
      <c r="G684" s="182">
        <v>871200374.45000005</v>
      </c>
      <c r="H684" s="78">
        <f t="shared" ref="H684:H696" si="182">+H683+D684-F684</f>
        <v>-298348.55</v>
      </c>
      <c r="I684" s="79">
        <f t="shared" ref="I684:I696" si="183">+I683+E684-G684</f>
        <v>-4599601960.4499998</v>
      </c>
    </row>
    <row r="685" spans="1:9" ht="15" customHeight="1" x14ac:dyDescent="0.2">
      <c r="A685" s="77">
        <v>44943</v>
      </c>
      <c r="B685" s="2"/>
      <c r="C685" s="76" t="s">
        <v>17</v>
      </c>
      <c r="D685" s="78"/>
      <c r="E685" s="186"/>
      <c r="F685" s="136">
        <v>42</v>
      </c>
      <c r="G685" s="182">
        <v>630798</v>
      </c>
      <c r="H685" s="78">
        <f t="shared" si="182"/>
        <v>-298390.55</v>
      </c>
      <c r="I685" s="79">
        <f t="shared" si="183"/>
        <v>-4600232758.4499998</v>
      </c>
    </row>
    <row r="686" spans="1:9" ht="15" customHeight="1" x14ac:dyDescent="0.2">
      <c r="A686" s="77">
        <v>44944</v>
      </c>
      <c r="B686" s="2"/>
      <c r="C686" s="76" t="s">
        <v>143</v>
      </c>
      <c r="D686" s="78"/>
      <c r="E686" s="186"/>
      <c r="F686" s="136">
        <v>57887.57</v>
      </c>
      <c r="G686" s="138">
        <v>877228235.77999997</v>
      </c>
      <c r="H686" s="78">
        <f t="shared" si="182"/>
        <v>-356278.12</v>
      </c>
      <c r="I686" s="79">
        <f t="shared" si="183"/>
        <v>-5477460994.2299995</v>
      </c>
    </row>
    <row r="687" spans="1:9" ht="15" customHeight="1" x14ac:dyDescent="0.2">
      <c r="A687" s="77">
        <v>44944</v>
      </c>
      <c r="B687" s="2"/>
      <c r="C687" s="76" t="s">
        <v>17</v>
      </c>
      <c r="D687" s="78"/>
      <c r="E687" s="186"/>
      <c r="F687" s="136">
        <v>42</v>
      </c>
      <c r="G687" s="138">
        <v>636468</v>
      </c>
      <c r="H687" s="78">
        <f t="shared" si="182"/>
        <v>-356320.12</v>
      </c>
      <c r="I687" s="79">
        <f t="shared" si="183"/>
        <v>-5478097462.2299995</v>
      </c>
    </row>
    <row r="688" spans="1:9" ht="15" customHeight="1" x14ac:dyDescent="0.2">
      <c r="A688" s="77">
        <v>44944</v>
      </c>
      <c r="B688" s="2"/>
      <c r="C688" s="76" t="s">
        <v>144</v>
      </c>
      <c r="D688" s="78"/>
      <c r="E688" s="186"/>
      <c r="F688" s="136">
        <v>57775.85</v>
      </c>
      <c r="G688" s="138">
        <v>875535230.89999998</v>
      </c>
      <c r="H688" s="78">
        <f t="shared" si="182"/>
        <v>-414095.97</v>
      </c>
      <c r="I688" s="79">
        <f t="shared" si="183"/>
        <v>-6353632693.1299992</v>
      </c>
    </row>
    <row r="689" spans="1:9" ht="15" customHeight="1" x14ac:dyDescent="0.2">
      <c r="A689" s="77">
        <v>44944</v>
      </c>
      <c r="B689" s="2"/>
      <c r="C689" s="76" t="s">
        <v>17</v>
      </c>
      <c r="D689" s="78"/>
      <c r="E689" s="186"/>
      <c r="F689" s="136">
        <v>42</v>
      </c>
      <c r="G689" s="138">
        <v>636468</v>
      </c>
      <c r="H689" s="78">
        <f t="shared" si="182"/>
        <v>-414137.97</v>
      </c>
      <c r="I689" s="79">
        <f t="shared" si="183"/>
        <v>-6354269161.1299992</v>
      </c>
    </row>
    <row r="690" spans="1:9" ht="15" customHeight="1" x14ac:dyDescent="0.2">
      <c r="A690" s="77">
        <v>44946</v>
      </c>
      <c r="B690" s="2"/>
      <c r="C690" s="76" t="s">
        <v>152</v>
      </c>
      <c r="D690" s="90">
        <v>73049.570000000007</v>
      </c>
      <c r="E690" s="186">
        <v>1128396707.79</v>
      </c>
      <c r="F690" s="127"/>
      <c r="G690" s="138"/>
      <c r="H690" s="78">
        <f t="shared" si="182"/>
        <v>-341088.39999999997</v>
      </c>
      <c r="I690" s="79">
        <f t="shared" si="183"/>
        <v>-5225872453.3399992</v>
      </c>
    </row>
    <row r="691" spans="1:9" ht="15" customHeight="1" x14ac:dyDescent="0.2">
      <c r="A691" s="77">
        <v>44946</v>
      </c>
      <c r="B691" s="2"/>
      <c r="C691" s="76" t="s">
        <v>146</v>
      </c>
      <c r="D691" s="78"/>
      <c r="E691" s="186"/>
      <c r="F691" s="136">
        <v>57707.35</v>
      </c>
      <c r="G691" s="138">
        <v>872131180.54999995</v>
      </c>
      <c r="H691" s="78">
        <f t="shared" si="182"/>
        <v>-398795.74999999994</v>
      </c>
      <c r="I691" s="79">
        <f t="shared" si="183"/>
        <v>-6098003633.8899994</v>
      </c>
    </row>
    <row r="692" spans="1:9" ht="15" customHeight="1" x14ac:dyDescent="0.2">
      <c r="A692" s="77">
        <v>44946</v>
      </c>
      <c r="B692" s="2"/>
      <c r="C692" s="76" t="s">
        <v>17</v>
      </c>
      <c r="D692" s="78"/>
      <c r="E692" s="186"/>
      <c r="F692" s="136">
        <v>42</v>
      </c>
      <c r="G692" s="138">
        <v>634746</v>
      </c>
      <c r="H692" s="78">
        <f t="shared" si="182"/>
        <v>-398837.74999999994</v>
      </c>
      <c r="I692" s="79">
        <f t="shared" si="183"/>
        <v>-6098638379.8899994</v>
      </c>
    </row>
    <row r="693" spans="1:9" ht="15" customHeight="1" x14ac:dyDescent="0.2">
      <c r="A693" s="77">
        <v>44946</v>
      </c>
      <c r="B693" s="2"/>
      <c r="C693" s="76" t="s">
        <v>153</v>
      </c>
      <c r="D693" s="90">
        <v>72921.350000000006</v>
      </c>
      <c r="E693" s="186">
        <v>1126416093.45</v>
      </c>
      <c r="F693" s="127"/>
      <c r="G693" s="182"/>
      <c r="H693" s="78">
        <f t="shared" si="182"/>
        <v>-325916.39999999991</v>
      </c>
      <c r="I693" s="79">
        <f t="shared" si="183"/>
        <v>-4972222286.4399996</v>
      </c>
    </row>
    <row r="694" spans="1:9" ht="15" customHeight="1" x14ac:dyDescent="0.2">
      <c r="A694" s="77">
        <v>44946</v>
      </c>
      <c r="B694" s="2"/>
      <c r="C694" s="76" t="s">
        <v>150</v>
      </c>
      <c r="D694" s="90">
        <v>72768.55</v>
      </c>
      <c r="E694" s="186">
        <v>1124055791.8499999</v>
      </c>
      <c r="F694" s="127"/>
      <c r="G694" s="182"/>
      <c r="H694" s="78">
        <f t="shared" si="182"/>
        <v>-253147.84999999992</v>
      </c>
      <c r="I694" s="79">
        <f t="shared" si="183"/>
        <v>-3848166494.5899997</v>
      </c>
    </row>
    <row r="695" spans="1:9" ht="15" customHeight="1" x14ac:dyDescent="0.2">
      <c r="A695" s="77">
        <v>44946</v>
      </c>
      <c r="B695" s="2"/>
      <c r="C695" s="76" t="s">
        <v>151</v>
      </c>
      <c r="D695" s="90">
        <v>72537.850000000006</v>
      </c>
      <c r="E695" s="186">
        <v>1120492168.95</v>
      </c>
      <c r="F695" s="127"/>
      <c r="G695" s="182"/>
      <c r="H695" s="78">
        <f t="shared" si="182"/>
        <v>-180609.99999999991</v>
      </c>
      <c r="I695" s="79">
        <f t="shared" si="183"/>
        <v>-2727674325.6399994</v>
      </c>
    </row>
    <row r="696" spans="1:9" ht="15" customHeight="1" x14ac:dyDescent="0.2">
      <c r="A696" s="77">
        <v>44957</v>
      </c>
      <c r="C696" s="76" t="s">
        <v>18</v>
      </c>
      <c r="D696" s="78"/>
      <c r="E696" s="186"/>
      <c r="F696" s="127"/>
      <c r="G696" s="182">
        <f>305769500.36-235059796</f>
        <v>70709704.360000014</v>
      </c>
      <c r="H696" s="80">
        <f t="shared" si="182"/>
        <v>-180609.99999999991</v>
      </c>
      <c r="I696" s="81">
        <f t="shared" si="183"/>
        <v>-2798384029.9999995</v>
      </c>
    </row>
    <row r="697" spans="1:9" ht="15" customHeight="1" x14ac:dyDescent="0.2">
      <c r="A697" s="2">
        <v>44981</v>
      </c>
      <c r="C697" s="1" t="s">
        <v>174</v>
      </c>
      <c r="D697" s="18">
        <v>75983.31</v>
      </c>
      <c r="E697" s="32">
        <v>1154262462.21</v>
      </c>
      <c r="H697" s="78">
        <f t="shared" ref="H697:H705" si="184">+H696+D697-F697</f>
        <v>-104626.68999999992</v>
      </c>
      <c r="I697" s="79">
        <f t="shared" ref="I697:I705" si="185">+I696+E697-G697</f>
        <v>-1644121567.7899995</v>
      </c>
    </row>
    <row r="698" spans="1:9" ht="15" customHeight="1" x14ac:dyDescent="0.2">
      <c r="A698" s="2">
        <v>45002</v>
      </c>
      <c r="B698" s="2"/>
      <c r="C698" s="1" t="s">
        <v>206</v>
      </c>
      <c r="D698" s="98">
        <v>75311.759999999995</v>
      </c>
      <c r="E698" s="32">
        <v>1160102351.04</v>
      </c>
      <c r="H698" s="78">
        <f t="shared" si="184"/>
        <v>-29314.92999999992</v>
      </c>
      <c r="I698" s="79">
        <f t="shared" si="185"/>
        <v>-484019216.74999952</v>
      </c>
    </row>
    <row r="699" spans="1:9" ht="15" customHeight="1" x14ac:dyDescent="0.2">
      <c r="A699" s="2">
        <v>44986</v>
      </c>
      <c r="B699" s="2"/>
      <c r="C699" s="1" t="s">
        <v>207</v>
      </c>
      <c r="D699" s="17"/>
      <c r="F699" s="121">
        <v>61169.31</v>
      </c>
      <c r="G699" s="152">
        <v>932220284.39999998</v>
      </c>
      <c r="H699" s="78">
        <f t="shared" si="184"/>
        <v>-90484.239999999918</v>
      </c>
      <c r="I699" s="79">
        <f t="shared" si="185"/>
        <v>-1416239501.1499996</v>
      </c>
    </row>
    <row r="700" spans="1:9" ht="15" customHeight="1" x14ac:dyDescent="0.2">
      <c r="A700" s="2">
        <v>44986</v>
      </c>
      <c r="C700" s="1" t="s">
        <v>17</v>
      </c>
      <c r="F700" s="121">
        <v>42</v>
      </c>
      <c r="G700" s="152">
        <v>640080</v>
      </c>
      <c r="H700" s="78">
        <f t="shared" si="184"/>
        <v>-90526.239999999918</v>
      </c>
      <c r="I700" s="79">
        <f t="shared" si="185"/>
        <v>-1416879581.1499996</v>
      </c>
    </row>
    <row r="701" spans="1:9" ht="15" customHeight="1" x14ac:dyDescent="0.2">
      <c r="A701" s="2">
        <v>45005</v>
      </c>
      <c r="C701" s="1" t="s">
        <v>228</v>
      </c>
      <c r="F701" s="121">
        <v>60497.760000000002</v>
      </c>
      <c r="G701" s="152">
        <v>929487584.63999999</v>
      </c>
      <c r="H701" s="78">
        <f t="shared" si="184"/>
        <v>-151023.99999999991</v>
      </c>
      <c r="I701" s="79">
        <f t="shared" si="185"/>
        <v>-2346367165.7899995</v>
      </c>
    </row>
    <row r="702" spans="1:9" ht="15" customHeight="1" x14ac:dyDescent="0.2">
      <c r="A702" s="2">
        <v>45005</v>
      </c>
      <c r="C702" s="1" t="s">
        <v>17</v>
      </c>
      <c r="F702" s="121">
        <v>42</v>
      </c>
      <c r="G702" s="152">
        <v>645288</v>
      </c>
      <c r="H702" s="78">
        <f t="shared" si="184"/>
        <v>-151065.99999999991</v>
      </c>
      <c r="I702" s="79">
        <f t="shared" si="185"/>
        <v>-2347012453.7899995</v>
      </c>
    </row>
    <row r="703" spans="1:9" ht="15" customHeight="1" x14ac:dyDescent="0.2">
      <c r="A703" s="2">
        <v>45009</v>
      </c>
      <c r="C703" s="1" t="s">
        <v>229</v>
      </c>
      <c r="F703" s="103">
        <v>59377.5</v>
      </c>
      <c r="G703" s="152">
        <v>911385247.5</v>
      </c>
      <c r="H703" s="78">
        <f t="shared" si="184"/>
        <v>-210443.49999999991</v>
      </c>
      <c r="I703" s="79">
        <f t="shared" si="185"/>
        <v>-3258397701.2899995</v>
      </c>
    </row>
    <row r="704" spans="1:9" ht="15" customHeight="1" x14ac:dyDescent="0.2">
      <c r="A704" s="2">
        <v>45009</v>
      </c>
      <c r="C704" s="1" t="s">
        <v>17</v>
      </c>
      <c r="F704" s="103">
        <v>42</v>
      </c>
      <c r="G704" s="152">
        <v>644658</v>
      </c>
      <c r="H704" s="78">
        <f t="shared" si="184"/>
        <v>-210485.49999999991</v>
      </c>
      <c r="I704" s="79">
        <f t="shared" si="185"/>
        <v>-3259042359.2899995</v>
      </c>
    </row>
    <row r="705" spans="1:9" ht="15" customHeight="1" x14ac:dyDescent="0.2">
      <c r="A705" s="2">
        <v>45016</v>
      </c>
      <c r="C705" s="1" t="s">
        <v>18</v>
      </c>
      <c r="E705" s="32">
        <v>3871919.79</v>
      </c>
      <c r="H705" s="80">
        <f t="shared" si="184"/>
        <v>-210485.49999999991</v>
      </c>
      <c r="I705" s="81">
        <f t="shared" si="185"/>
        <v>-3255170439.4999995</v>
      </c>
    </row>
    <row r="706" spans="1:9" ht="15" customHeight="1" x14ac:dyDescent="0.2">
      <c r="A706" s="2">
        <v>45022</v>
      </c>
      <c r="C706" s="1" t="s">
        <v>235</v>
      </c>
      <c r="D706" s="3">
        <v>74591.5</v>
      </c>
      <c r="E706" s="32">
        <v>1124765228.5</v>
      </c>
      <c r="H706" s="80">
        <f t="shared" ref="H706" si="186">+H705+D706-F706</f>
        <v>-135893.99999999991</v>
      </c>
      <c r="I706" s="81">
        <f t="shared" ref="I706" si="187">+I705+E706-G706</f>
        <v>-2130405210.9999995</v>
      </c>
    </row>
    <row r="707" spans="1:9" ht="15" customHeight="1" x14ac:dyDescent="0.2">
      <c r="A707" s="2">
        <v>45069</v>
      </c>
      <c r="C707" s="1" t="s">
        <v>314</v>
      </c>
      <c r="F707" s="34">
        <v>59747.39</v>
      </c>
      <c r="G707" s="32">
        <v>890056868.83000004</v>
      </c>
      <c r="H707" s="78">
        <f t="shared" ref="H707" si="188">+H706+D707-F707</f>
        <v>-195641.3899999999</v>
      </c>
      <c r="I707" s="79">
        <f t="shared" ref="I707" si="189">+I706+E707-G707</f>
        <v>-3020462079.8299994</v>
      </c>
    </row>
    <row r="708" spans="1:9" ht="15" customHeight="1" x14ac:dyDescent="0.2">
      <c r="A708" s="2">
        <v>45069</v>
      </c>
      <c r="C708" s="1" t="s">
        <v>17</v>
      </c>
      <c r="D708" s="17"/>
      <c r="F708" s="164">
        <v>42</v>
      </c>
      <c r="G708" s="32">
        <v>625674</v>
      </c>
      <c r="H708" s="80">
        <f t="shared" ref="H708" si="190">+H707+D708-F708</f>
        <v>-195683.3899999999</v>
      </c>
      <c r="I708" s="81">
        <f t="shared" ref="I708" si="191">+I707+E708-G708</f>
        <v>-3021087753.8299994</v>
      </c>
    </row>
    <row r="709" spans="1:9" ht="15" customHeight="1" x14ac:dyDescent="0.2">
      <c r="A709" s="2">
        <v>45086</v>
      </c>
      <c r="B709" s="2"/>
      <c r="C709" s="1" t="s">
        <v>282</v>
      </c>
      <c r="F709" s="16">
        <v>59648.82</v>
      </c>
      <c r="G709" s="32">
        <v>888946364.46000004</v>
      </c>
      <c r="H709" s="3">
        <f t="shared" ref="H709:I712" si="192">+H708+D709-F709</f>
        <v>-255332.2099999999</v>
      </c>
      <c r="I709" s="4">
        <f t="shared" si="192"/>
        <v>-3910034118.2899995</v>
      </c>
    </row>
    <row r="710" spans="1:9" ht="15" customHeight="1" x14ac:dyDescent="0.2">
      <c r="A710" s="2">
        <v>45086</v>
      </c>
      <c r="B710" s="2"/>
      <c r="C710" s="1" t="s">
        <v>17</v>
      </c>
      <c r="F710" s="16">
        <v>42</v>
      </c>
      <c r="G710" s="32">
        <v>625926</v>
      </c>
      <c r="H710" s="3">
        <f t="shared" si="192"/>
        <v>-255374.2099999999</v>
      </c>
      <c r="I710" s="4">
        <f t="shared" si="192"/>
        <v>-3910660044.2899995</v>
      </c>
    </row>
    <row r="711" spans="1:9" ht="15" customHeight="1" x14ac:dyDescent="0.2">
      <c r="A711" s="2">
        <v>45098</v>
      </c>
      <c r="B711" s="2"/>
      <c r="C711" s="1" t="s">
        <v>305</v>
      </c>
      <c r="D711" s="16">
        <v>74462.820000000007</v>
      </c>
      <c r="E711" s="32">
        <v>1109868332.0999999</v>
      </c>
      <c r="F711" s="164"/>
      <c r="G711" s="32"/>
      <c r="H711" s="3">
        <f t="shared" si="192"/>
        <v>-180911.3899999999</v>
      </c>
      <c r="I711" s="4">
        <f t="shared" si="192"/>
        <v>-2800791712.1899996</v>
      </c>
    </row>
    <row r="712" spans="1:9" ht="15" customHeight="1" x14ac:dyDescent="0.2">
      <c r="A712" s="2">
        <v>45098</v>
      </c>
      <c r="B712" s="2"/>
      <c r="C712" s="1" t="s">
        <v>306</v>
      </c>
      <c r="D712" s="14">
        <v>74561.39</v>
      </c>
      <c r="E712" s="32">
        <v>1111337517.95</v>
      </c>
      <c r="H712" s="3">
        <f t="shared" si="192"/>
        <v>-106349.9999999999</v>
      </c>
      <c r="I712" s="4">
        <f t="shared" si="192"/>
        <v>-1689454194.2399995</v>
      </c>
    </row>
    <row r="713" spans="1:9" ht="15" customHeight="1" x14ac:dyDescent="0.2">
      <c r="A713" s="2">
        <v>45107</v>
      </c>
      <c r="C713" s="1" t="s">
        <v>18</v>
      </c>
      <c r="E713" s="32">
        <f>8207620.88+7325706.36</f>
        <v>15533327.24</v>
      </c>
      <c r="H713" s="6">
        <f t="shared" ref="H713" si="193">+H712+D713-F713</f>
        <v>-106349.9999999999</v>
      </c>
      <c r="I713" s="7">
        <f t="shared" ref="I713" si="194">+I712+E713-G713</f>
        <v>-1673920866.9999995</v>
      </c>
    </row>
    <row r="714" spans="1:9" ht="15" customHeight="1" x14ac:dyDescent="0.2">
      <c r="A714" s="2">
        <v>45112</v>
      </c>
      <c r="B714" s="2"/>
      <c r="C714" s="1" t="s">
        <v>318</v>
      </c>
      <c r="F714" s="66">
        <v>58790.11</v>
      </c>
      <c r="G714" s="32">
        <v>882909871.98000002</v>
      </c>
      <c r="H714" s="3">
        <f t="shared" ref="H714" si="195">+H713+D714-F714</f>
        <v>-165140.1099999999</v>
      </c>
      <c r="I714" s="4">
        <f t="shared" ref="I714" si="196">+I713+E714-G714</f>
        <v>-2556830738.9799995</v>
      </c>
    </row>
    <row r="715" spans="1:9" ht="15" customHeight="1" x14ac:dyDescent="0.2">
      <c r="A715" s="2">
        <v>45112</v>
      </c>
      <c r="B715" s="2"/>
      <c r="C715" s="1" t="s">
        <v>17</v>
      </c>
      <c r="F715" s="66">
        <v>42</v>
      </c>
      <c r="G715" s="32">
        <v>630758</v>
      </c>
      <c r="H715" s="3">
        <f t="shared" ref="H715:H725" si="197">+H714+D715-F715</f>
        <v>-165182.1099999999</v>
      </c>
      <c r="I715" s="4">
        <f t="shared" ref="I715:I725" si="198">+I714+E715-G715</f>
        <v>-2557461496.9799995</v>
      </c>
    </row>
    <row r="716" spans="1:9" ht="15" customHeight="1" x14ac:dyDescent="0.2">
      <c r="A716" s="2">
        <v>45112</v>
      </c>
      <c r="B716" s="2"/>
      <c r="C716" s="1" t="s">
        <v>332</v>
      </c>
      <c r="D716" s="66">
        <v>74004.11</v>
      </c>
      <c r="E716" s="32">
        <v>1111023703.4300001</v>
      </c>
      <c r="F716" s="17"/>
      <c r="G716" s="32"/>
      <c r="H716" s="3">
        <f t="shared" si="197"/>
        <v>-91177.999999999898</v>
      </c>
      <c r="I716" s="4">
        <f t="shared" si="198"/>
        <v>-1446437793.5499995</v>
      </c>
    </row>
    <row r="717" spans="1:9" ht="15" customHeight="1" x14ac:dyDescent="0.2">
      <c r="A717" s="2">
        <v>45119</v>
      </c>
      <c r="B717" s="2"/>
      <c r="C717" s="1" t="s">
        <v>333</v>
      </c>
      <c r="D717" s="66">
        <v>72933.350000000006</v>
      </c>
      <c r="E717" s="32">
        <v>1097865717.55</v>
      </c>
      <c r="F717" s="17"/>
      <c r="G717" s="32"/>
      <c r="H717" s="3">
        <f t="shared" si="197"/>
        <v>-18244.649999999892</v>
      </c>
      <c r="I717" s="4">
        <f t="shared" si="198"/>
        <v>-348572075.99999952</v>
      </c>
    </row>
    <row r="718" spans="1:9" ht="15" customHeight="1" x14ac:dyDescent="0.2">
      <c r="A718" s="2">
        <v>45121</v>
      </c>
      <c r="B718" s="2"/>
      <c r="C718" s="1" t="s">
        <v>319</v>
      </c>
      <c r="D718" s="24"/>
      <c r="E718" s="73"/>
      <c r="F718" s="190">
        <v>57719.35</v>
      </c>
      <c r="G718" s="73">
        <v>864520424.29999995</v>
      </c>
      <c r="H718" s="3">
        <f t="shared" si="197"/>
        <v>-75963.999999999884</v>
      </c>
      <c r="I718" s="4">
        <f t="shared" si="198"/>
        <v>-1213092500.2999995</v>
      </c>
    </row>
    <row r="719" spans="1:9" ht="15" customHeight="1" x14ac:dyDescent="0.2">
      <c r="A719" s="2">
        <v>45121</v>
      </c>
      <c r="B719" s="2"/>
      <c r="C719" s="1" t="s">
        <v>17</v>
      </c>
      <c r="F719" s="66">
        <v>42</v>
      </c>
      <c r="G719" s="32">
        <v>629076</v>
      </c>
      <c r="H719" s="3">
        <f t="shared" si="197"/>
        <v>-76005.999999999884</v>
      </c>
      <c r="I719" s="4">
        <f t="shared" si="198"/>
        <v>-1213721576.2999995</v>
      </c>
    </row>
    <row r="720" spans="1:9" ht="15" customHeight="1" x14ac:dyDescent="0.2">
      <c r="A720" s="2">
        <v>45125</v>
      </c>
      <c r="B720" s="2"/>
      <c r="C720" s="1" t="s">
        <v>320</v>
      </c>
      <c r="F720" s="66">
        <v>56625.51</v>
      </c>
      <c r="G720" s="32">
        <v>849779028.57000005</v>
      </c>
      <c r="H720" s="3">
        <f t="shared" si="197"/>
        <v>-132631.50999999989</v>
      </c>
      <c r="I720" s="4">
        <f t="shared" si="198"/>
        <v>-2063500604.8699994</v>
      </c>
    </row>
    <row r="721" spans="1:11" ht="15" customHeight="1" x14ac:dyDescent="0.2">
      <c r="A721" s="2">
        <v>45125</v>
      </c>
      <c r="B721" s="2"/>
      <c r="C721" s="1" t="s">
        <v>17</v>
      </c>
      <c r="F721" s="66">
        <v>42</v>
      </c>
      <c r="G721" s="32">
        <v>630294</v>
      </c>
      <c r="H721" s="3">
        <f t="shared" si="197"/>
        <v>-132673.50999999989</v>
      </c>
      <c r="I721" s="4">
        <f t="shared" si="198"/>
        <v>-2064130898.8699994</v>
      </c>
    </row>
    <row r="722" spans="1:11" ht="15" customHeight="1" x14ac:dyDescent="0.2">
      <c r="A722" s="2">
        <v>45125</v>
      </c>
      <c r="B722" s="2"/>
      <c r="C722" s="1" t="s">
        <v>334</v>
      </c>
      <c r="D722" s="66">
        <v>71439.509999999995</v>
      </c>
      <c r="E722" s="32">
        <v>1075378944.03</v>
      </c>
      <c r="F722" s="17"/>
      <c r="G722" s="32"/>
      <c r="H722" s="3">
        <f t="shared" si="197"/>
        <v>-61233.999999999898</v>
      </c>
      <c r="I722" s="4">
        <f t="shared" si="198"/>
        <v>-988751954.83999944</v>
      </c>
    </row>
    <row r="723" spans="1:11" ht="15" customHeight="1" x14ac:dyDescent="0.2">
      <c r="A723" s="2">
        <v>45132</v>
      </c>
      <c r="B723" s="2"/>
      <c r="C723" s="1" t="s">
        <v>330</v>
      </c>
      <c r="F723" s="17">
        <v>68860</v>
      </c>
      <c r="G723" s="32">
        <v>1034828080</v>
      </c>
      <c r="H723" s="3">
        <f t="shared" si="197"/>
        <v>-130093.9999999999</v>
      </c>
      <c r="I723" s="4">
        <f t="shared" si="198"/>
        <v>-2023580034.8399994</v>
      </c>
    </row>
    <row r="724" spans="1:11" ht="15" customHeight="1" x14ac:dyDescent="0.2">
      <c r="A724" s="2">
        <v>45132</v>
      </c>
      <c r="B724" s="2"/>
      <c r="C724" s="1" t="s">
        <v>17</v>
      </c>
      <c r="F724" s="17">
        <v>30</v>
      </c>
      <c r="G724" s="32">
        <v>450840</v>
      </c>
      <c r="H724" s="3">
        <f t="shared" si="197"/>
        <v>-130123.9999999999</v>
      </c>
      <c r="I724" s="4">
        <f t="shared" si="198"/>
        <v>-2024030874.8399994</v>
      </c>
    </row>
    <row r="725" spans="1:11" ht="15" customHeight="1" x14ac:dyDescent="0.2">
      <c r="A725" s="2">
        <v>45138</v>
      </c>
      <c r="C725" s="1" t="s">
        <v>18</v>
      </c>
      <c r="E725" s="32">
        <v>16178851.84</v>
      </c>
      <c r="H725" s="6">
        <f t="shared" si="197"/>
        <v>-130123.9999999999</v>
      </c>
      <c r="I725" s="7">
        <f t="shared" si="198"/>
        <v>-2007852022.9999995</v>
      </c>
    </row>
    <row r="726" spans="1:11" ht="15" customHeight="1" x14ac:dyDescent="0.2">
      <c r="A726" s="2">
        <v>45161</v>
      </c>
      <c r="B726" s="2"/>
      <c r="C726" s="1" t="s">
        <v>375</v>
      </c>
      <c r="D726" s="71">
        <v>68206.41</v>
      </c>
      <c r="E726" s="32">
        <v>1045058614.02</v>
      </c>
      <c r="H726" s="3">
        <f t="shared" ref="H726:I731" si="199">+H725+D726-F726</f>
        <v>-61917.589999999895</v>
      </c>
      <c r="I726" s="4">
        <f t="shared" si="199"/>
        <v>-962793408.97999954</v>
      </c>
    </row>
    <row r="727" spans="1:11" ht="15" customHeight="1" x14ac:dyDescent="0.2">
      <c r="A727" s="2">
        <v>45161</v>
      </c>
      <c r="B727" s="2"/>
      <c r="C727" s="1" t="s">
        <v>355</v>
      </c>
      <c r="F727" s="71">
        <v>53392.41</v>
      </c>
      <c r="G727" s="32">
        <v>818292075.65999997</v>
      </c>
      <c r="H727" s="3">
        <f t="shared" si="199"/>
        <v>-115309.9999999999</v>
      </c>
      <c r="I727" s="4">
        <f t="shared" si="199"/>
        <v>-1781085484.6399994</v>
      </c>
    </row>
    <row r="728" spans="1:11" ht="15" customHeight="1" x14ac:dyDescent="0.2">
      <c r="A728" s="2">
        <v>45161</v>
      </c>
      <c r="B728" s="2"/>
      <c r="C728" s="1" t="s">
        <v>17</v>
      </c>
      <c r="F728" s="71">
        <v>42</v>
      </c>
      <c r="G728" s="32">
        <v>643692</v>
      </c>
      <c r="H728" s="3">
        <f t="shared" si="199"/>
        <v>-115351.9999999999</v>
      </c>
      <c r="I728" s="4">
        <f t="shared" si="199"/>
        <v>-1781729176.6399994</v>
      </c>
    </row>
    <row r="729" spans="1:11" ht="15" customHeight="1" x14ac:dyDescent="0.2">
      <c r="A729" s="2">
        <v>45161</v>
      </c>
      <c r="B729" s="2"/>
      <c r="C729" s="1" t="s">
        <v>378</v>
      </c>
      <c r="D729" s="169">
        <v>70341.55</v>
      </c>
      <c r="E729" s="32">
        <v>1077773229.0999999</v>
      </c>
      <c r="H729" s="3">
        <f t="shared" si="199"/>
        <v>-45010.449999999895</v>
      </c>
      <c r="I729" s="4">
        <f t="shared" si="199"/>
        <v>-703955947.53999949</v>
      </c>
    </row>
    <row r="730" spans="1:11" ht="15" customHeight="1" x14ac:dyDescent="0.2">
      <c r="A730" s="2">
        <v>45161</v>
      </c>
      <c r="B730" s="2"/>
      <c r="C730" s="1" t="s">
        <v>354</v>
      </c>
      <c r="F730" s="214">
        <v>53556.39</v>
      </c>
      <c r="G730" s="32">
        <v>820805233.13999999</v>
      </c>
      <c r="H730" s="3">
        <f t="shared" si="199"/>
        <v>-98566.839999999895</v>
      </c>
      <c r="I730" s="4">
        <f t="shared" si="199"/>
        <v>-1524761180.6799994</v>
      </c>
    </row>
    <row r="731" spans="1:11" ht="15" customHeight="1" x14ac:dyDescent="0.2">
      <c r="A731" s="2">
        <v>45161</v>
      </c>
      <c r="B731" s="2"/>
      <c r="C731" s="1" t="s">
        <v>17</v>
      </c>
      <c r="F731" s="214">
        <v>42</v>
      </c>
      <c r="G731" s="32">
        <v>643692</v>
      </c>
      <c r="H731" s="3">
        <f t="shared" si="199"/>
        <v>-98608.839999999895</v>
      </c>
      <c r="I731" s="4">
        <f t="shared" si="199"/>
        <v>-1525404872.6799994</v>
      </c>
    </row>
    <row r="732" spans="1:11" ht="15" customHeight="1" x14ac:dyDescent="0.2">
      <c r="A732" s="2">
        <v>45169</v>
      </c>
      <c r="C732" s="1" t="s">
        <v>18</v>
      </c>
      <c r="E732" s="32">
        <v>4024913.64</v>
      </c>
      <c r="H732" s="6">
        <f t="shared" ref="H732" si="200">+H731+D732-F732</f>
        <v>-98608.839999999895</v>
      </c>
      <c r="I732" s="7">
        <f t="shared" ref="I732" si="201">+I731+E732-G732</f>
        <v>-1521379959.0399992</v>
      </c>
    </row>
    <row r="733" spans="1:11" ht="15" customHeight="1" x14ac:dyDescent="0.2">
      <c r="A733" s="2">
        <v>45175</v>
      </c>
      <c r="B733" s="2"/>
      <c r="C733" s="1" t="s">
        <v>386</v>
      </c>
      <c r="D733" s="214">
        <v>68370.39</v>
      </c>
      <c r="E733" s="32">
        <v>1043127040.23</v>
      </c>
      <c r="H733" s="3">
        <f t="shared" ref="H733:I735" si="202">+H732+D733-F733</f>
        <v>-30238.449999999895</v>
      </c>
      <c r="I733" s="4">
        <f t="shared" si="202"/>
        <v>-478252918.80999923</v>
      </c>
    </row>
    <row r="734" spans="1:11" ht="15" customHeight="1" x14ac:dyDescent="0.2">
      <c r="A734" s="2">
        <v>45176</v>
      </c>
      <c r="B734" s="2"/>
      <c r="C734" s="1" t="s">
        <v>377</v>
      </c>
      <c r="F734" s="3">
        <v>55527.55</v>
      </c>
      <c r="G734" s="32">
        <v>849960207.85000002</v>
      </c>
      <c r="H734" s="3">
        <f t="shared" si="202"/>
        <v>-85765.999999999898</v>
      </c>
      <c r="I734" s="4">
        <f t="shared" si="202"/>
        <v>-1328213126.6599994</v>
      </c>
    </row>
    <row r="735" spans="1:11" ht="15" customHeight="1" x14ac:dyDescent="0.2">
      <c r="A735" s="2">
        <v>45176</v>
      </c>
      <c r="B735" s="2"/>
      <c r="C735" s="1" t="s">
        <v>17</v>
      </c>
      <c r="F735" s="3">
        <v>42</v>
      </c>
      <c r="G735" s="32">
        <v>642894</v>
      </c>
      <c r="H735" s="3">
        <f t="shared" si="202"/>
        <v>-85807.999999999898</v>
      </c>
      <c r="I735" s="4">
        <f t="shared" si="202"/>
        <v>-1328856020.6599994</v>
      </c>
    </row>
    <row r="736" spans="1:11" ht="15" customHeight="1" x14ac:dyDescent="0.2">
      <c r="A736" s="2">
        <v>45199</v>
      </c>
      <c r="B736" s="2"/>
      <c r="C736" s="1" t="s">
        <v>18</v>
      </c>
      <c r="E736" s="32">
        <v>8351468.9100000001</v>
      </c>
      <c r="H736" s="3">
        <f t="shared" ref="H736" si="203">+H735+D736-F736</f>
        <v>-85807.999999999898</v>
      </c>
      <c r="I736" s="4">
        <f t="shared" ref="I736" si="204">+I735+E736-G736</f>
        <v>-1320504551.7499993</v>
      </c>
      <c r="J736" s="4">
        <v>-85808</v>
      </c>
      <c r="K736" s="4">
        <v>-1320504551.75</v>
      </c>
    </row>
    <row r="737" spans="1:11" ht="15" customHeight="1" x14ac:dyDescent="0.2">
      <c r="B737" s="2"/>
    </row>
    <row r="738" spans="1:11" ht="15" customHeight="1" x14ac:dyDescent="0.2">
      <c r="B738" s="2"/>
    </row>
    <row r="739" spans="1:11" ht="15" customHeight="1" x14ac:dyDescent="0.2">
      <c r="A739" s="5" t="s">
        <v>0</v>
      </c>
    </row>
    <row r="740" spans="1:11" ht="15" customHeight="1" x14ac:dyDescent="0.2">
      <c r="A740" s="5" t="s">
        <v>11</v>
      </c>
    </row>
    <row r="741" spans="1:11" ht="15" customHeight="1" x14ac:dyDescent="0.2">
      <c r="A741" s="5" t="s">
        <v>267</v>
      </c>
    </row>
    <row r="742" spans="1:11" ht="15" customHeight="1" x14ac:dyDescent="0.2">
      <c r="A742" s="5" t="s">
        <v>160</v>
      </c>
    </row>
    <row r="744" spans="1:11" ht="15" customHeight="1" x14ac:dyDescent="0.2">
      <c r="A744" s="9" t="s">
        <v>3</v>
      </c>
      <c r="B744" s="8" t="s">
        <v>4</v>
      </c>
      <c r="C744" s="8" t="s">
        <v>5</v>
      </c>
      <c r="D744" s="233" t="s">
        <v>6</v>
      </c>
      <c r="E744" s="233"/>
      <c r="F744" s="233" t="s">
        <v>7</v>
      </c>
      <c r="G744" s="233"/>
      <c r="H744" s="233" t="s">
        <v>8</v>
      </c>
      <c r="I744" s="233"/>
    </row>
    <row r="745" spans="1:11" ht="15" customHeight="1" x14ac:dyDescent="0.2">
      <c r="A745" s="10"/>
      <c r="B745" s="11"/>
      <c r="C745" s="11" t="s">
        <v>9</v>
      </c>
      <c r="D745" s="12"/>
      <c r="E745" s="184"/>
      <c r="F745" s="104"/>
      <c r="G745" s="180"/>
      <c r="H745" s="12">
        <v>0</v>
      </c>
      <c r="I745" s="13">
        <v>0</v>
      </c>
    </row>
    <row r="746" spans="1:11" ht="15" customHeight="1" x14ac:dyDescent="0.2">
      <c r="A746" s="2">
        <v>45048</v>
      </c>
      <c r="C746" s="1" t="s">
        <v>293</v>
      </c>
      <c r="F746" s="159">
        <v>44613</v>
      </c>
      <c r="G746" s="32">
        <v>654071193</v>
      </c>
      <c r="H746" s="51">
        <f t="shared" ref="H746:I747" si="205">+H745+D746-F746</f>
        <v>-44613</v>
      </c>
      <c r="I746" s="50">
        <f t="shared" si="205"/>
        <v>-654071193</v>
      </c>
    </row>
    <row r="747" spans="1:11" ht="15" customHeight="1" x14ac:dyDescent="0.2">
      <c r="A747" s="2">
        <v>45048</v>
      </c>
      <c r="C747" s="1" t="s">
        <v>17</v>
      </c>
      <c r="F747" s="159">
        <v>57</v>
      </c>
      <c r="G747" s="32">
        <v>835677</v>
      </c>
      <c r="H747" s="52">
        <f t="shared" si="205"/>
        <v>-44670</v>
      </c>
      <c r="I747" s="53">
        <f t="shared" si="205"/>
        <v>-654906870</v>
      </c>
    </row>
    <row r="748" spans="1:11" ht="15" customHeight="1" x14ac:dyDescent="0.2">
      <c r="A748" s="2">
        <v>45105</v>
      </c>
      <c r="B748" s="2"/>
      <c r="C748" s="1" t="s">
        <v>303</v>
      </c>
      <c r="F748" s="14">
        <v>91250.34</v>
      </c>
      <c r="G748" s="32">
        <v>1371127608.8399999</v>
      </c>
      <c r="H748" s="51">
        <f t="shared" ref="H748:I750" si="206">+H747+D748-F748</f>
        <v>-135920.34</v>
      </c>
      <c r="I748" s="50">
        <f t="shared" si="206"/>
        <v>-2026034478.8399999</v>
      </c>
    </row>
    <row r="749" spans="1:11" ht="15" customHeight="1" x14ac:dyDescent="0.2">
      <c r="A749" s="2">
        <v>45105</v>
      </c>
      <c r="B749" s="2"/>
      <c r="C749" s="1" t="s">
        <v>17</v>
      </c>
      <c r="F749" s="14">
        <v>62</v>
      </c>
      <c r="G749" s="32">
        <v>931612</v>
      </c>
      <c r="H749" s="52">
        <f t="shared" si="206"/>
        <v>-135982.34</v>
      </c>
      <c r="I749" s="53">
        <f t="shared" si="206"/>
        <v>-2026966090.8399999</v>
      </c>
    </row>
    <row r="750" spans="1:11" ht="15" customHeight="1" x14ac:dyDescent="0.2">
      <c r="A750" s="2">
        <v>45127</v>
      </c>
      <c r="B750" s="2"/>
      <c r="C750" s="1" t="s">
        <v>317</v>
      </c>
      <c r="D750" s="14">
        <v>135982.34</v>
      </c>
      <c r="E750" s="32">
        <v>2049661810.8199999</v>
      </c>
      <c r="H750" s="3">
        <f t="shared" si="206"/>
        <v>0</v>
      </c>
      <c r="I750" s="4">
        <f t="shared" si="206"/>
        <v>22695719.980000019</v>
      </c>
    </row>
    <row r="751" spans="1:11" ht="15" customHeight="1" x14ac:dyDescent="0.2">
      <c r="A751" s="2">
        <v>45138</v>
      </c>
      <c r="C751" s="1" t="s">
        <v>18</v>
      </c>
      <c r="G751" s="152">
        <v>22695719.98</v>
      </c>
      <c r="H751" s="6">
        <f t="shared" ref="H751" si="207">+H750+D751-F751</f>
        <v>0</v>
      </c>
      <c r="I751" s="7">
        <f t="shared" ref="I751" si="208">+I750+E751-G751</f>
        <v>0</v>
      </c>
      <c r="J751" s="4">
        <v>0</v>
      </c>
      <c r="K751" s="4">
        <v>0</v>
      </c>
    </row>
    <row r="755" spans="1:12" ht="15" customHeight="1" x14ac:dyDescent="0.2">
      <c r="A755" s="5" t="s">
        <v>0</v>
      </c>
    </row>
    <row r="756" spans="1:12" ht="15" customHeight="1" x14ac:dyDescent="0.2">
      <c r="A756" s="5" t="s">
        <v>11</v>
      </c>
    </row>
    <row r="757" spans="1:12" ht="15" customHeight="1" x14ac:dyDescent="0.2">
      <c r="A757" s="5" t="s">
        <v>316</v>
      </c>
    </row>
    <row r="758" spans="1:12" ht="15" customHeight="1" x14ac:dyDescent="0.2">
      <c r="A758" s="5" t="s">
        <v>160</v>
      </c>
    </row>
    <row r="760" spans="1:12" ht="15" customHeight="1" x14ac:dyDescent="0.2">
      <c r="A760" s="9" t="s">
        <v>3</v>
      </c>
      <c r="B760" s="8" t="s">
        <v>4</v>
      </c>
      <c r="C760" s="8" t="s">
        <v>5</v>
      </c>
      <c r="D760" s="233" t="s">
        <v>6</v>
      </c>
      <c r="E760" s="233"/>
      <c r="F760" s="233" t="s">
        <v>7</v>
      </c>
      <c r="G760" s="233"/>
      <c r="H760" s="233" t="s">
        <v>8</v>
      </c>
      <c r="I760" s="233"/>
    </row>
    <row r="761" spans="1:12" ht="15" customHeight="1" x14ac:dyDescent="0.2">
      <c r="A761" s="10"/>
      <c r="B761" s="11"/>
      <c r="C761" s="11" t="s">
        <v>9</v>
      </c>
      <c r="D761" s="12"/>
      <c r="E761" s="184"/>
      <c r="F761" s="104"/>
      <c r="G761" s="180"/>
      <c r="H761" s="12">
        <v>0</v>
      </c>
      <c r="I761" s="13">
        <v>0</v>
      </c>
    </row>
    <row r="762" spans="1:12" ht="15" customHeight="1" x14ac:dyDescent="0.2">
      <c r="A762" s="2">
        <v>45125</v>
      </c>
      <c r="B762" s="2"/>
      <c r="C762" s="1" t="s">
        <v>335</v>
      </c>
      <c r="D762" s="3">
        <v>68890</v>
      </c>
      <c r="E762" s="32">
        <v>1037001170</v>
      </c>
      <c r="F762" s="164"/>
      <c r="G762" s="32"/>
      <c r="H762" s="51">
        <f>+H761+D762-F762</f>
        <v>68890</v>
      </c>
      <c r="I762" s="50">
        <f>+I761+E762-G762</f>
        <v>1037001170</v>
      </c>
      <c r="J762" s="4">
        <v>68890</v>
      </c>
      <c r="K762" s="4">
        <v>1037001170</v>
      </c>
    </row>
    <row r="763" spans="1:12" ht="15" customHeight="1" x14ac:dyDescent="0.2">
      <c r="C763" s="1" t="s">
        <v>336</v>
      </c>
    </row>
    <row r="765" spans="1:12" ht="15" customHeight="1" x14ac:dyDescent="0.2">
      <c r="J765" s="4">
        <f>SUM(J1:J764)</f>
        <v>-321737.65999999997</v>
      </c>
      <c r="K765" s="4">
        <f>SUM(K1:K764)</f>
        <v>-4663814112.6300001</v>
      </c>
      <c r="L765" s="69"/>
    </row>
  </sheetData>
  <sortState xmlns:xlrd2="http://schemas.microsoft.com/office/spreadsheetml/2017/richdata2" ref="A687:G695">
    <sortCondition ref="A687"/>
  </sortState>
  <mergeCells count="42">
    <mergeCell ref="D760:E760"/>
    <mergeCell ref="F760:G760"/>
    <mergeCell ref="H760:I760"/>
    <mergeCell ref="D465:E465"/>
    <mergeCell ref="D662:E662"/>
    <mergeCell ref="F662:G662"/>
    <mergeCell ref="H662:I662"/>
    <mergeCell ref="D609:E609"/>
    <mergeCell ref="F609:G609"/>
    <mergeCell ref="H609:I609"/>
    <mergeCell ref="D636:E636"/>
    <mergeCell ref="F636:G636"/>
    <mergeCell ref="H636:I636"/>
    <mergeCell ref="F465:G465"/>
    <mergeCell ref="H465:I465"/>
    <mergeCell ref="D536:E536"/>
    <mergeCell ref="D272:E272"/>
    <mergeCell ref="F272:G272"/>
    <mergeCell ref="H272:I272"/>
    <mergeCell ref="D392:E392"/>
    <mergeCell ref="F392:G392"/>
    <mergeCell ref="D373:E373"/>
    <mergeCell ref="F373:G373"/>
    <mergeCell ref="H373:I373"/>
    <mergeCell ref="H392:I392"/>
    <mergeCell ref="D6:E6"/>
    <mergeCell ref="F6:G6"/>
    <mergeCell ref="H6:I6"/>
    <mergeCell ref="D18:E18"/>
    <mergeCell ref="F18:G18"/>
    <mergeCell ref="H18:I18"/>
    <mergeCell ref="D744:E744"/>
    <mergeCell ref="F744:G744"/>
    <mergeCell ref="H744:I744"/>
    <mergeCell ref="F482:G482"/>
    <mergeCell ref="H482:I482"/>
    <mergeCell ref="D523:E523"/>
    <mergeCell ref="F523:G523"/>
    <mergeCell ref="H523:I523"/>
    <mergeCell ref="F536:G536"/>
    <mergeCell ref="H536:I536"/>
    <mergeCell ref="D482:E482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AR-EXP</vt:lpstr>
      <vt:lpstr>UM</vt:lpstr>
      <vt:lpstr>RINCIAN</vt:lpstr>
      <vt:lpstr>'AR-EXP'!Print_Area</vt:lpstr>
      <vt:lpstr>UM!Print_Area</vt:lpstr>
      <vt:lpstr>'AR-EXP'!Print_Titles</vt:lpstr>
      <vt:lpstr>UM!Print_Titles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</dc:creator>
  <cp:lastModifiedBy>ALI</cp:lastModifiedBy>
  <cp:lastPrinted>2023-05-20T06:07:26Z</cp:lastPrinted>
  <dcterms:created xsi:type="dcterms:W3CDTF">2022-03-26T02:38:23Z</dcterms:created>
  <dcterms:modified xsi:type="dcterms:W3CDTF">2024-02-02T09:40:09Z</dcterms:modified>
</cp:coreProperties>
</file>